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2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3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D:\SAS\Сайт\Esmil\Отстойники\Илосос для радиального отстойника\"/>
    </mc:Choice>
  </mc:AlternateContent>
  <xr:revisionPtr revIDLastSave="0" documentId="13_ncr:1_{A3649BB5-10BC-4B64-B67D-FB604FE961D2}" xr6:coauthVersionLast="47" xr6:coauthVersionMax="47" xr10:uidLastSave="{00000000-0000-0000-0000-000000000000}"/>
  <workbookProtection workbookPassword="98F8" lockStructure="1"/>
  <bookViews>
    <workbookView xWindow="-120" yWindow="-120" windowWidth="20730" windowHeight="11160" tabRatio="598" activeTab="1" xr2:uid="{00000000-000D-0000-FFFF-FFFF00000000}"/>
  </bookViews>
  <sheets>
    <sheet name="Questionnaire" sheetId="6" r:id="rId1"/>
    <sheet name="Drawings" sheetId="15" r:id="rId2"/>
    <sheet name="EN" sheetId="13" state="hidden" r:id="rId3"/>
    <sheet name="RU" sheetId="11" state="hidden" r:id="rId4"/>
    <sheet name="ENG" sheetId="5" state="hidden" r:id="rId5"/>
    <sheet name="RUS" sheetId="10" state="hidden" r:id="rId6"/>
  </sheets>
  <definedNames>
    <definedName name="Automatisation" localSheetId="0">Questionnaire!$K$45</definedName>
    <definedName name="Automatisation" localSheetId="5">RUS!$K$46</definedName>
    <definedName name="Automatisation">ENG!$K$45</definedName>
    <definedName name="Discharge_height" localSheetId="1">ENG!#REF!</definedName>
    <definedName name="Discharge_height" localSheetId="2">ENG!#REF!</definedName>
    <definedName name="Discharge_height" localSheetId="0">Questionnaire!#REF!</definedName>
    <definedName name="Discharge_height" localSheetId="5">RUS!#REF!</definedName>
    <definedName name="Discharge_height">ENG!#REF!</definedName>
    <definedName name="Filtering_mesh" localSheetId="1">ENG!#REF!</definedName>
    <definedName name="Filtering_mesh" localSheetId="2">ENG!#REF!</definedName>
    <definedName name="Filtering_mesh" localSheetId="0">Questionnaire!#REF!</definedName>
    <definedName name="Filtering_mesh" localSheetId="5">RUS!#REF!</definedName>
    <definedName name="Filtering_mesh">ENG!#REF!</definedName>
    <definedName name="Hydraulics2" localSheetId="1">ENG!#REF!</definedName>
    <definedName name="Hydraulics2" localSheetId="2">ENG!#REF!</definedName>
    <definedName name="Hydraulics2" localSheetId="0">Questionnaire!#REF!</definedName>
    <definedName name="Hydraulics2" localSheetId="5">RUS!#REF!</definedName>
    <definedName name="Hydraulics2">ENG!#REF!</definedName>
    <definedName name="Installation" localSheetId="0">Questionnaire!$K$36:$K$37</definedName>
    <definedName name="Installation" localSheetId="5">RUS!$K$36:$K$36</definedName>
    <definedName name="Installation">ENG!$K$36:$K$36</definedName>
    <definedName name="Location" localSheetId="0">Questionnaire!$K$31:$K$34</definedName>
    <definedName name="Location" localSheetId="5">RUS!$K$31:$K$34</definedName>
    <definedName name="Location">ENG!$K$31:$K$34</definedName>
    <definedName name="Material" localSheetId="1">ENG!#REF!</definedName>
    <definedName name="Material" localSheetId="2">ENG!#REF!</definedName>
    <definedName name="Material" localSheetId="0">Questionnaire!#REF!</definedName>
    <definedName name="Material" localSheetId="5">RUS!#REF!</definedName>
    <definedName name="Material">ENG!#REF!</definedName>
    <definedName name="Motor_reductor" localSheetId="0">Questionnaire!$K$47:$K$51</definedName>
    <definedName name="Motor_reductor" localSheetId="5">RUS!$K$48:$K$52</definedName>
    <definedName name="Motor_reductor">ENG!$K$47:$K$51</definedName>
    <definedName name="RVO" localSheetId="1">ENG!#REF!</definedName>
    <definedName name="RVO" localSheetId="2">ENG!#REF!</definedName>
    <definedName name="RVO" localSheetId="0">Questionnaire!$Q$17:$Q$20</definedName>
    <definedName name="RVO" localSheetId="5">RUS!$Q$18:$Q$24</definedName>
    <definedName name="RVO">ENG!#REF!</definedName>
    <definedName name="Screw_type" localSheetId="0">Questionnaire!#REF!</definedName>
    <definedName name="Screw_type" localSheetId="5">RUS!#REF!</definedName>
    <definedName name="Screw_type">ENG!$R$18:$R$24</definedName>
    <definedName name="WW_feeding" localSheetId="1">ENG!#REF!</definedName>
    <definedName name="WW_feeding" localSheetId="2">ENG!#REF!</definedName>
    <definedName name="WW_feeding" localSheetId="0">Questionnaire!#REF!</definedName>
    <definedName name="WW_feeding" localSheetId="5">RUS!#REF!</definedName>
    <definedName name="WW_feeding">ENG!#REF!</definedName>
    <definedName name="WW_type" localSheetId="1">ENG!#REF!</definedName>
    <definedName name="WW_type" localSheetId="2">ENG!#REF!</definedName>
    <definedName name="WW_type" localSheetId="0">Questionnaire!#REF!</definedName>
    <definedName name="WW_type" localSheetId="5">RUS!#REF!</definedName>
    <definedName name="WW_type">ENG!#REF!</definedName>
    <definedName name="Yes_No" localSheetId="0">Questionnaire!$L$43:$L$44</definedName>
    <definedName name="Yes_No" localSheetId="5">RUS!$L$44:$L$45</definedName>
    <definedName name="Yes_No">ENG!$L$43:$L$44</definedName>
    <definedName name="_xlnm.Print_Area" localSheetId="1">Drawings!$A$1:$T$147</definedName>
    <definedName name="_xlnm.Print_Area" localSheetId="2">EN!$B$70:$N$133</definedName>
    <definedName name="_xlnm.Print_Area" localSheetId="4">ENG!#REF!</definedName>
    <definedName name="_xlnm.Print_Area" localSheetId="0">Questionnaire!$B$1:$F$74</definedName>
    <definedName name="_xlnm.Print_Area" localSheetId="3">RU!$B$70:$N$133</definedName>
    <definedName name="_xlnm.Print_Area" localSheetId="5">RUS!#REF!</definedName>
    <definedName name="ШУ" localSheetId="0">Questionnaire!$L$43:$L$45</definedName>
    <definedName name="ШУ" localSheetId="5">RUS!$L$44:$L$46</definedName>
    <definedName name="ШУ">ENG!$L$43:$L$45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50" i="11" l="1"/>
  <c r="Q50" i="13"/>
  <c r="Q26" i="11"/>
  <c r="Q26" i="13"/>
  <c r="F76" i="15"/>
  <c r="P24" i="15"/>
  <c r="P48" i="15"/>
  <c r="P44" i="15"/>
  <c r="P59" i="15"/>
  <c r="F125" i="15"/>
  <c r="P21" i="15"/>
  <c r="P8" i="15"/>
  <c r="P45" i="15"/>
  <c r="P19" i="15"/>
  <c r="P5" i="15"/>
  <c r="P43" i="15"/>
  <c r="P33" i="15"/>
  <c r="P9" i="15"/>
  <c r="P6" i="15"/>
  <c r="P2" i="15"/>
  <c r="P23" i="15"/>
  <c r="M82" i="15"/>
  <c r="M75" i="15"/>
  <c r="B32" i="6"/>
  <c r="P62" i="15"/>
  <c r="P42" i="15"/>
  <c r="I72" i="15"/>
  <c r="P46" i="15"/>
  <c r="M124" i="15"/>
  <c r="P10" i="15"/>
  <c r="P25" i="15"/>
  <c r="P14" i="15"/>
  <c r="M125" i="15"/>
  <c r="P64" i="15"/>
  <c r="P66" i="15"/>
  <c r="I106" i="15"/>
  <c r="P49" i="15"/>
  <c r="M76" i="15"/>
  <c r="H3" i="6"/>
  <c r="A4" i="15"/>
  <c r="M109" i="15"/>
  <c r="A135" i="15"/>
  <c r="P61" i="15"/>
  <c r="M77" i="15"/>
  <c r="V5" i="15"/>
  <c r="F74" i="15"/>
  <c r="P31" i="15"/>
  <c r="P17" i="15"/>
  <c r="P40" i="15"/>
  <c r="A52" i="15"/>
  <c r="P30" i="15"/>
  <c r="A70" i="15"/>
  <c r="J139" i="15"/>
  <c r="A28" i="15"/>
  <c r="F81" i="15"/>
  <c r="I93" i="15"/>
  <c r="M123" i="15"/>
  <c r="P7" i="15"/>
  <c r="M108" i="15"/>
  <c r="M79" i="15"/>
  <c r="P67" i="15"/>
  <c r="P60" i="15"/>
  <c r="P58" i="15"/>
  <c r="M111" i="15"/>
  <c r="M110" i="15"/>
  <c r="P56" i="15"/>
  <c r="J138" i="15"/>
  <c r="P22" i="15"/>
  <c r="P53" i="15"/>
  <c r="J137" i="15"/>
  <c r="F75" i="15"/>
  <c r="P32" i="15"/>
  <c r="M81" i="15"/>
  <c r="P3" i="15"/>
  <c r="P29" i="15"/>
  <c r="P13" i="15"/>
  <c r="B106" i="15"/>
  <c r="P57" i="15"/>
  <c r="P20" i="15"/>
  <c r="F78" i="15"/>
  <c r="F123" i="15"/>
  <c r="P54" i="15"/>
  <c r="P39" i="15"/>
  <c r="F124" i="15"/>
  <c r="M80" i="15"/>
  <c r="P65" i="15"/>
  <c r="A91" i="15"/>
  <c r="P16" i="15"/>
  <c r="I121" i="15"/>
  <c r="P15" i="15"/>
  <c r="P41" i="15"/>
  <c r="B72" i="15"/>
  <c r="M74" i="15"/>
  <c r="A119" i="15"/>
  <c r="P63" i="15"/>
  <c r="P38" i="15"/>
  <c r="P34" i="15"/>
  <c r="P11" i="15"/>
  <c r="J140" i="15"/>
  <c r="V6" i="15"/>
  <c r="B121" i="15"/>
  <c r="P55" i="15"/>
  <c r="F79" i="15"/>
  <c r="F80" i="15"/>
  <c r="F1" i="15"/>
  <c r="P47" i="15"/>
  <c r="M78" i="15"/>
  <c r="P18" i="15"/>
  <c r="B93" i="15"/>
  <c r="M126" i="15"/>
  <c r="P36" i="15"/>
  <c r="P37" i="15"/>
  <c r="P12" i="15"/>
  <c r="P35" i="15"/>
  <c r="F77" i="15"/>
  <c r="P51" i="11" l="1"/>
  <c r="P27" i="11"/>
  <c r="P51" i="13"/>
  <c r="P27" i="13"/>
  <c r="C22" i="6"/>
  <c r="T9" i="6"/>
  <c r="B31" i="6"/>
  <c r="C27" i="6"/>
  <c r="U4" i="6"/>
  <c r="C25" i="6"/>
  <c r="P50" i="15"/>
  <c r="B33" i="6"/>
  <c r="C34" i="6"/>
  <c r="B21" i="6"/>
  <c r="M21" i="6"/>
  <c r="B30" i="6"/>
  <c r="C29" i="6"/>
  <c r="P26" i="15"/>
  <c r="U2" i="6"/>
  <c r="U3" i="6"/>
  <c r="C21" i="6"/>
  <c r="B39" i="6"/>
  <c r="B40" i="6"/>
  <c r="U5" i="6"/>
  <c r="B36" i="6"/>
  <c r="C28" i="6"/>
  <c r="C33" i="6"/>
  <c r="C26" i="6"/>
  <c r="C24" i="6"/>
  <c r="B38" i="6"/>
  <c r="C23" i="6"/>
  <c r="D30" i="10" l="1"/>
  <c r="D29" i="10"/>
  <c r="D30" i="5"/>
  <c r="D29" i="5"/>
  <c r="T8" i="6"/>
  <c r="T4" i="6"/>
  <c r="T5" i="6"/>
  <c r="T6" i="6"/>
  <c r="T3" i="6"/>
  <c r="T7" i="6"/>
  <c r="T2" i="6"/>
  <c r="C71" i="10" l="1"/>
  <c r="C71" i="5"/>
  <c r="D75" i="10"/>
  <c r="C56" i="10" l="1"/>
  <c r="C55" i="10"/>
  <c r="C52" i="10"/>
  <c r="C47" i="10"/>
  <c r="D75" i="5"/>
  <c r="C68" i="5"/>
  <c r="C62" i="5"/>
  <c r="C56" i="5"/>
  <c r="C55" i="5"/>
  <c r="C52" i="5"/>
  <c r="C47" i="5"/>
  <c r="Q8" i="6"/>
  <c r="B20" i="6"/>
  <c r="E19" i="6"/>
  <c r="B19" i="6"/>
  <c r="C68" i="10" l="1"/>
  <c r="C62" i="10"/>
  <c r="D26" i="10" l="1"/>
  <c r="D27" i="10"/>
  <c r="B58" i="10" s="1"/>
  <c r="D26" i="5"/>
  <c r="B66" i="5" s="1"/>
  <c r="D23" i="5"/>
  <c r="D27" i="5"/>
  <c r="D24" i="10"/>
  <c r="B55" i="10" s="1"/>
  <c r="D24" i="5"/>
  <c r="D25" i="10"/>
  <c r="D25" i="5"/>
  <c r="D23" i="10"/>
  <c r="D22" i="5"/>
  <c r="B49" i="5" s="1"/>
  <c r="D22" i="10"/>
  <c r="C2" i="10"/>
  <c r="Q14" i="10" s="1"/>
  <c r="C2" i="5"/>
  <c r="B36" i="5" s="1"/>
  <c r="F9" i="10"/>
  <c r="F9" i="5"/>
  <c r="D10" i="10"/>
  <c r="D9" i="10"/>
  <c r="D10" i="5"/>
  <c r="D9" i="5"/>
  <c r="D36" i="10"/>
  <c r="D36" i="5"/>
  <c r="D21" i="5"/>
  <c r="D21" i="10"/>
  <c r="D28" i="10"/>
  <c r="D28" i="5"/>
  <c r="D33" i="10"/>
  <c r="D33" i="5"/>
  <c r="D19" i="5"/>
  <c r="D18" i="5"/>
  <c r="E18" i="5" s="1"/>
  <c r="D17" i="5"/>
  <c r="D19" i="10"/>
  <c r="D18" i="10"/>
  <c r="E18" i="10" s="1"/>
  <c r="D17" i="10"/>
  <c r="D32" i="10"/>
  <c r="D32" i="5"/>
  <c r="D11" i="10"/>
  <c r="E12" i="10" s="1"/>
  <c r="D11" i="5"/>
  <c r="E12" i="5" s="1"/>
  <c r="M3" i="6"/>
  <c r="C13" i="6"/>
  <c r="N11" i="6"/>
  <c r="M10" i="6"/>
  <c r="K10" i="6"/>
  <c r="M19" i="6"/>
  <c r="D5" i="6"/>
  <c r="B16" i="6"/>
  <c r="N10" i="6"/>
  <c r="B1" i="6"/>
  <c r="N2" i="6"/>
  <c r="J2" i="6"/>
  <c r="K9" i="6"/>
  <c r="L11" i="6"/>
  <c r="P10" i="6"/>
  <c r="N12" i="6"/>
  <c r="E18" i="6"/>
  <c r="K7" i="6"/>
  <c r="K11" i="6"/>
  <c r="K3" i="6"/>
  <c r="M4" i="6"/>
  <c r="C12" i="6"/>
  <c r="B9" i="6"/>
  <c r="B7" i="6"/>
  <c r="Q9" i="6"/>
  <c r="P9" i="6"/>
  <c r="M2" i="6"/>
  <c r="O10" i="6"/>
  <c r="D3" i="6"/>
  <c r="K4" i="6"/>
  <c r="B3" i="6"/>
  <c r="M6" i="6"/>
  <c r="K6" i="6"/>
  <c r="L4" i="6"/>
  <c r="J3" i="6"/>
  <c r="K5" i="6"/>
  <c r="N9" i="6"/>
  <c r="L10" i="6"/>
  <c r="K8" i="6"/>
  <c r="D6" i="6"/>
  <c r="B10" i="6"/>
  <c r="J10" i="6"/>
  <c r="P11" i="6"/>
  <c r="L2" i="6"/>
  <c r="B17" i="6"/>
  <c r="R2" i="6"/>
  <c r="N13" i="6"/>
  <c r="M12" i="6"/>
  <c r="N3" i="6"/>
  <c r="E11" i="6"/>
  <c r="O9" i="6"/>
  <c r="E17" i="6"/>
  <c r="B12" i="6"/>
  <c r="Q10" i="6"/>
  <c r="M18" i="6"/>
  <c r="N7" i="6"/>
  <c r="D4" i="6"/>
  <c r="M11" i="6"/>
  <c r="B6" i="6"/>
  <c r="N6" i="6"/>
  <c r="L7" i="6"/>
  <c r="L12" i="6"/>
  <c r="L6" i="6"/>
  <c r="B5" i="6"/>
  <c r="M7" i="6"/>
  <c r="N8" i="6"/>
  <c r="E8" i="6"/>
  <c r="J11" i="6"/>
  <c r="L3" i="6"/>
  <c r="M20" i="6"/>
  <c r="B2" i="6"/>
  <c r="R3" i="6"/>
  <c r="H4" i="6"/>
  <c r="B8" i="6"/>
  <c r="N5" i="6"/>
  <c r="B18" i="6"/>
  <c r="B4" i="6"/>
  <c r="Q11" i="6"/>
  <c r="K2" i="6"/>
  <c r="M5" i="6"/>
  <c r="O3" i="5" l="1"/>
  <c r="E33" i="5" s="1"/>
  <c r="O13" i="5"/>
  <c r="O15" i="5"/>
  <c r="O14" i="5"/>
  <c r="O13" i="10"/>
  <c r="O14" i="10"/>
  <c r="O15" i="10"/>
  <c r="O5" i="10"/>
  <c r="O3" i="10"/>
  <c r="E33" i="10" s="1"/>
  <c r="C74" i="10"/>
  <c r="C73" i="10"/>
  <c r="C74" i="5"/>
  <c r="C73" i="5"/>
  <c r="K22" i="10"/>
  <c r="K23" i="10"/>
  <c r="B71" i="10"/>
  <c r="B75" i="10"/>
  <c r="B73" i="10"/>
  <c r="B70" i="10"/>
  <c r="B75" i="5"/>
  <c r="B73" i="5"/>
  <c r="B71" i="5"/>
  <c r="B70" i="5"/>
  <c r="B65" i="10"/>
  <c r="B66" i="10"/>
  <c r="B62" i="5"/>
  <c r="B61" i="5"/>
  <c r="S7" i="5"/>
  <c r="K24" i="10"/>
  <c r="B46" i="10"/>
  <c r="B47" i="10"/>
  <c r="B45" i="10"/>
  <c r="B44" i="10"/>
  <c r="S5" i="5"/>
  <c r="S8" i="5"/>
  <c r="S4" i="5"/>
  <c r="S6" i="5"/>
  <c r="S3" i="5"/>
  <c r="B51" i="10"/>
  <c r="B50" i="10"/>
  <c r="B49" i="10"/>
  <c r="B52" i="10"/>
  <c r="K25" i="10"/>
  <c r="K21" i="10"/>
  <c r="K20" i="10"/>
  <c r="B56" i="10"/>
  <c r="B54" i="10"/>
  <c r="B62" i="10"/>
  <c r="B61" i="10"/>
  <c r="B60" i="10"/>
  <c r="B59" i="10"/>
  <c r="B68" i="10"/>
  <c r="B67" i="10"/>
  <c r="B46" i="5"/>
  <c r="B45" i="5"/>
  <c r="B44" i="5"/>
  <c r="B47" i="5"/>
  <c r="B68" i="5"/>
  <c r="B65" i="5"/>
  <c r="B67" i="5"/>
  <c r="B58" i="5"/>
  <c r="B60" i="5"/>
  <c r="B59" i="5"/>
  <c r="B51" i="5"/>
  <c r="B50" i="5"/>
  <c r="B52" i="5"/>
  <c r="B55" i="5"/>
  <c r="B54" i="5"/>
  <c r="B56" i="5"/>
  <c r="Q13" i="5"/>
  <c r="Q14" i="5"/>
  <c r="E11" i="5"/>
  <c r="Q13" i="10"/>
  <c r="E11" i="10"/>
  <c r="B36" i="10"/>
  <c r="O4" i="10"/>
  <c r="O4" i="5"/>
  <c r="O5" i="5"/>
  <c r="B46" i="6"/>
  <c r="O3" i="6"/>
  <c r="B65" i="6"/>
  <c r="O14" i="6"/>
  <c r="B64" i="6"/>
  <c r="B66" i="6"/>
  <c r="B58" i="6"/>
  <c r="C61" i="6"/>
  <c r="E10" i="6"/>
  <c r="B53" i="6"/>
  <c r="B73" i="6"/>
  <c r="B54" i="6"/>
  <c r="B74" i="6"/>
  <c r="E32" i="6"/>
  <c r="B60" i="6"/>
  <c r="O13" i="6"/>
  <c r="B50" i="6"/>
  <c r="C60" i="6"/>
  <c r="B49" i="6"/>
  <c r="Q13" i="6"/>
  <c r="B57" i="6"/>
  <c r="Q12" i="6"/>
  <c r="B62" i="6"/>
  <c r="O2" i="6"/>
  <c r="B67" i="6"/>
  <c r="B43" i="6"/>
  <c r="O12" i="6"/>
  <c r="B44" i="6"/>
  <c r="B51" i="6"/>
  <c r="B45" i="6"/>
  <c r="B72" i="6"/>
  <c r="B48" i="6"/>
  <c r="B55" i="6"/>
  <c r="O4" i="6"/>
  <c r="B71" i="6"/>
  <c r="B68" i="6"/>
  <c r="K15" i="10" l="1"/>
  <c r="J22" i="10"/>
  <c r="J23" i="10"/>
  <c r="L22" i="10"/>
  <c r="L23" i="10"/>
  <c r="L24" i="10"/>
  <c r="K22" i="5"/>
  <c r="K24" i="5"/>
  <c r="K23" i="5"/>
  <c r="J24" i="5"/>
  <c r="J20" i="5"/>
  <c r="J21" i="5"/>
  <c r="J23" i="5"/>
  <c r="J22" i="5"/>
  <c r="L23" i="5"/>
  <c r="L24" i="5"/>
  <c r="Q6" i="10"/>
  <c r="Q3" i="10"/>
  <c r="Q4" i="10"/>
  <c r="Q5" i="10"/>
  <c r="K16" i="10"/>
  <c r="J25" i="10"/>
  <c r="J21" i="10"/>
  <c r="J20" i="10"/>
  <c r="J24" i="10"/>
  <c r="Q6" i="5"/>
  <c r="Q5" i="5"/>
  <c r="S7" i="10"/>
  <c r="B63" i="5"/>
  <c r="K21" i="5"/>
  <c r="K20" i="5"/>
  <c r="K25" i="5"/>
  <c r="J25" i="5"/>
  <c r="K15" i="5"/>
  <c r="K16" i="5"/>
  <c r="L20" i="5"/>
  <c r="L21" i="5"/>
  <c r="L22" i="5"/>
  <c r="L20" i="10"/>
  <c r="L21" i="10"/>
  <c r="P5" i="10"/>
  <c r="P4" i="10"/>
  <c r="P3" i="10"/>
  <c r="Q4" i="5"/>
  <c r="Q3" i="5"/>
  <c r="P3" i="5"/>
  <c r="P5" i="5"/>
  <c r="P4" i="5"/>
  <c r="S14" i="5"/>
  <c r="S13" i="5"/>
  <c r="S11" i="5"/>
  <c r="S15" i="5"/>
  <c r="S12" i="5"/>
  <c r="S15" i="10"/>
  <c r="S12" i="10"/>
  <c r="S13" i="10"/>
  <c r="S11" i="10"/>
  <c r="S14" i="10"/>
  <c r="S6" i="10"/>
  <c r="S3" i="10"/>
  <c r="S8" i="10"/>
  <c r="S5" i="10"/>
  <c r="S4" i="10"/>
  <c r="B63" i="10"/>
  <c r="S14" i="6"/>
  <c r="L22" i="6"/>
  <c r="J22" i="6"/>
  <c r="J19" i="6"/>
  <c r="Q2" i="6"/>
  <c r="K15" i="6"/>
  <c r="Q3" i="6"/>
  <c r="J20" i="6"/>
  <c r="L19" i="6"/>
  <c r="Q4" i="6"/>
  <c r="S7" i="6"/>
  <c r="J24" i="6"/>
  <c r="S4" i="6"/>
  <c r="J21" i="6"/>
  <c r="Q5" i="6"/>
  <c r="L20" i="6"/>
  <c r="S6" i="6"/>
  <c r="B69" i="6"/>
  <c r="K19" i="6"/>
  <c r="K14" i="6"/>
  <c r="L23" i="6"/>
  <c r="S10" i="6"/>
  <c r="S13" i="6"/>
  <c r="K20" i="6"/>
  <c r="S5" i="6"/>
  <c r="K21" i="6"/>
  <c r="K24" i="6"/>
  <c r="J23" i="6"/>
  <c r="P4" i="6"/>
  <c r="S12" i="6"/>
  <c r="K22" i="6"/>
  <c r="K23" i="6"/>
  <c r="S2" i="6"/>
  <c r="S11" i="6"/>
  <c r="P2" i="6"/>
  <c r="S3" i="6"/>
  <c r="P3" i="6"/>
  <c r="L21" i="6"/>
  <c r="B72" i="10" l="1"/>
  <c r="B72" i="5"/>
  <c r="R12" i="10"/>
  <c r="R11" i="10"/>
  <c r="R9" i="10"/>
  <c r="R10" i="10"/>
  <c r="R8" i="10"/>
  <c r="R12" i="5"/>
  <c r="R10" i="5"/>
  <c r="R11" i="5"/>
  <c r="R8" i="5"/>
  <c r="R9" i="5"/>
  <c r="R11" i="6"/>
  <c r="R10" i="6"/>
  <c r="R7" i="6"/>
  <c r="R8" i="6"/>
  <c r="B59" i="6"/>
  <c r="R9" i="6"/>
</calcChain>
</file>

<file path=xl/sharedStrings.xml><?xml version="1.0" encoding="utf-8"?>
<sst xmlns="http://schemas.openxmlformats.org/spreadsheetml/2006/main" count="538" uniqueCount="314">
  <si>
    <t>Тип сточных вод</t>
  </si>
  <si>
    <t>Расход сточных вод Q, л/с</t>
  </si>
  <si>
    <t>Q мин:</t>
  </si>
  <si>
    <t>Q ср:</t>
  </si>
  <si>
    <t>AISI 304</t>
  </si>
  <si>
    <t>AISI 304L</t>
  </si>
  <si>
    <t>AISI 316</t>
  </si>
  <si>
    <t>AISI 316L</t>
  </si>
  <si>
    <t>Подключение к вентиляции</t>
  </si>
  <si>
    <t>Диаметр, мм:</t>
  </si>
  <si>
    <t>Система управления</t>
  </si>
  <si>
    <t>Шкаф управления</t>
  </si>
  <si>
    <t>Да</t>
  </si>
  <si>
    <t>Нет</t>
  </si>
  <si>
    <t>Уровень автоматизации</t>
  </si>
  <si>
    <t>Мотор-редуктор</t>
  </si>
  <si>
    <t>IP55</t>
  </si>
  <si>
    <t>IP65</t>
  </si>
  <si>
    <t>IP66</t>
  </si>
  <si>
    <t>IP67</t>
  </si>
  <si>
    <t>Взрывобезопасность, EX</t>
  </si>
  <si>
    <t>Прочее</t>
  </si>
  <si>
    <t>Количество граблин:</t>
  </si>
  <si>
    <t>Высота выгрузки, мм:</t>
  </si>
  <si>
    <t>Радиус поворота, мм:</t>
  </si>
  <si>
    <t>Автоматизация</t>
  </si>
  <si>
    <t>Параметры сети</t>
  </si>
  <si>
    <t>-</t>
  </si>
  <si>
    <t>Решетка винтовая отжимная РВО</t>
  </si>
  <si>
    <t>Решетка винтовая отжимная барабанная РВОБ1</t>
  </si>
  <si>
    <t>Решетка винтовая отжимная барабанная РВОБ2</t>
  </si>
  <si>
    <t>Класс</t>
  </si>
  <si>
    <t>Группа</t>
  </si>
  <si>
    <r>
      <t xml:space="preserve">Q </t>
    </r>
    <r>
      <rPr>
        <vertAlign val="subscript"/>
        <sz val="11"/>
        <rFont val="Arial"/>
        <family val="2"/>
      </rPr>
      <t>макс</t>
    </r>
    <r>
      <rPr>
        <sz val="11"/>
        <rFont val="Arial"/>
        <family val="2"/>
      </rPr>
      <t>:</t>
    </r>
  </si>
  <si>
    <t>Наименование шкафа управления</t>
  </si>
  <si>
    <t>При подаче сточных вод</t>
  </si>
  <si>
    <t>Type of wastewater</t>
  </si>
  <si>
    <t>Control cabinet</t>
  </si>
  <si>
    <t>Outdoor</t>
  </si>
  <si>
    <t>Indoor</t>
  </si>
  <si>
    <t>Yes</t>
  </si>
  <si>
    <t>No</t>
  </si>
  <si>
    <t>Other relevant information</t>
  </si>
  <si>
    <t>Other (indicate)</t>
  </si>
  <si>
    <t>IP56</t>
  </si>
  <si>
    <t>Automation</t>
  </si>
  <si>
    <t>pH</t>
  </si>
  <si>
    <t>Choice available</t>
  </si>
  <si>
    <t>Please fill in</t>
  </si>
  <si>
    <t>Basic information</t>
  </si>
  <si>
    <t>Customer</t>
  </si>
  <si>
    <t>Country</t>
  </si>
  <si>
    <t>Deadline for the offer</t>
  </si>
  <si>
    <t>Project information</t>
  </si>
  <si>
    <t>Contact person</t>
  </si>
  <si>
    <t>Object name</t>
  </si>
  <si>
    <t>Phone</t>
  </si>
  <si>
    <t>Email</t>
  </si>
  <si>
    <t>Request date</t>
  </si>
  <si>
    <t>RUS</t>
  </si>
  <si>
    <t>Основная информация</t>
  </si>
  <si>
    <t>Заказчик</t>
  </si>
  <si>
    <t>Наименование объекта</t>
  </si>
  <si>
    <t>Страна</t>
  </si>
  <si>
    <t>Информация о заказчике</t>
  </si>
  <si>
    <t>Контактное лицо</t>
  </si>
  <si>
    <t>Телефон</t>
  </si>
  <si>
    <t>Дата заполнения</t>
  </si>
  <si>
    <t>Другая важная информация</t>
  </si>
  <si>
    <t>Бытовые</t>
  </si>
  <si>
    <t>Промышленные</t>
  </si>
  <si>
    <t>Выберите</t>
  </si>
  <si>
    <t>Пожалуйста заполните</t>
  </si>
  <si>
    <t>Наружное</t>
  </si>
  <si>
    <t>В помещении</t>
  </si>
  <si>
    <t>ENG</t>
  </si>
  <si>
    <t>Уровень pH</t>
  </si>
  <si>
    <t xml:space="preserve">Запрос на </t>
  </si>
  <si>
    <t xml:space="preserve">Request for </t>
  </si>
  <si>
    <t>Ingress protection rating (IP)</t>
  </si>
  <si>
    <t>Explosion protection (EX): class/zone</t>
  </si>
  <si>
    <t>Исполнение (IP)</t>
  </si>
  <si>
    <t>Требования по взрывозащите (EX): класс/зона (указать ГОСТ, IEC или иное)</t>
  </si>
  <si>
    <t>Municipal</t>
  </si>
  <si>
    <t xml:space="preserve">Industrial </t>
  </si>
  <si>
    <t>Другое (указать)</t>
  </si>
  <si>
    <t>Тип строительства</t>
  </si>
  <si>
    <t>Наличие типового проекта</t>
  </si>
  <si>
    <t>All-wheel drive</t>
  </si>
  <si>
    <t>Задний привод</t>
  </si>
  <si>
    <t>Полный привод</t>
  </si>
  <si>
    <t>Type of the clarifier</t>
  </si>
  <si>
    <t>Primary</t>
  </si>
  <si>
    <t>Secondary</t>
  </si>
  <si>
    <t>Первичный</t>
  </si>
  <si>
    <t>Вторичный</t>
  </si>
  <si>
    <t>Тип отстойника</t>
  </si>
  <si>
    <t>Wastewater characteristics</t>
  </si>
  <si>
    <t>Chloride, mg/l</t>
  </si>
  <si>
    <t xml:space="preserve">Характеристики сточных вод </t>
  </si>
  <si>
    <t>Хлориды, мг/л</t>
  </si>
  <si>
    <t>Type of the project</t>
  </si>
  <si>
    <t>Track cleaner</t>
  </si>
  <si>
    <t>Перелив зубчатый</t>
  </si>
  <si>
    <t>Полупогружная доска</t>
  </si>
  <si>
    <t>Очиститель дорожки</t>
  </si>
  <si>
    <t>Кромкоочиститель</t>
  </si>
  <si>
    <t>Расположение шкафа управления</t>
  </si>
  <si>
    <t>Availability of a design project</t>
  </si>
  <si>
    <t>Central inlet well</t>
  </si>
  <si>
    <t>Бетон</t>
  </si>
  <si>
    <t>Concrete</t>
  </si>
  <si>
    <t>Inlet pipe</t>
  </si>
  <si>
    <t xml:space="preserve">Существует </t>
  </si>
  <si>
    <t>Existing</t>
  </si>
  <si>
    <t>Diameter of the clarifier, m</t>
  </si>
  <si>
    <t>Диаметр отстойника, м</t>
  </si>
  <si>
    <t>V-notch weir</t>
  </si>
  <si>
    <t>Weir cleaner</t>
  </si>
  <si>
    <t>Effluent launder</t>
  </si>
  <si>
    <t>Rear-wheel drive</t>
  </si>
  <si>
    <t xml:space="preserve">Reconstruction </t>
  </si>
  <si>
    <t>New project</t>
  </si>
  <si>
    <t xml:space="preserve">Реконструкция </t>
  </si>
  <si>
    <t>Новое строительство</t>
  </si>
  <si>
    <t>Дефлектор</t>
  </si>
  <si>
    <t>Подающая труба</t>
  </si>
  <si>
    <t>Required</t>
  </si>
  <si>
    <t>Not required</t>
  </si>
  <si>
    <t>Требуется</t>
  </si>
  <si>
    <t>Не требуется</t>
  </si>
  <si>
    <t>Material of the bridge</t>
  </si>
  <si>
    <t xml:space="preserve">Материал моста </t>
  </si>
  <si>
    <t>Painted carbon steel</t>
  </si>
  <si>
    <t>Окрашенная конструкционная сталь</t>
  </si>
  <si>
    <t>Thickener</t>
  </si>
  <si>
    <t>Илоуплотнитель</t>
  </si>
  <si>
    <t>Тип колеса</t>
  </si>
  <si>
    <t>Traction trolley</t>
  </si>
  <si>
    <t xml:space="preserve">Приводная тележка </t>
  </si>
  <si>
    <t>* Detailed information about additional equipment is presented below.</t>
  </si>
  <si>
    <t>Дополнительное оборудование *</t>
  </si>
  <si>
    <t>Приводы **</t>
  </si>
  <si>
    <t>* Более подробная информация по дополнительному оборудованию указана ниже.</t>
  </si>
  <si>
    <t>** Регулировка скорости движения - от частотного преобразователя.</t>
  </si>
  <si>
    <t>Additional equipment *</t>
  </si>
  <si>
    <t>Gearmotors **</t>
  </si>
  <si>
    <t>Scum removal system</t>
  </si>
  <si>
    <t>Система сбора плавающих</t>
  </si>
  <si>
    <t>Металл</t>
  </si>
  <si>
    <t>Материал чаши</t>
  </si>
  <si>
    <t>** Regulation of a rotational speed by a frequency converter.</t>
  </si>
  <si>
    <t>Scum baffle</t>
  </si>
  <si>
    <t>Material of the tank</t>
  </si>
  <si>
    <t>Metal</t>
  </si>
  <si>
    <t>centrally driven sludge scraper with a fixed bridge</t>
  </si>
  <si>
    <t>peripherally driven sludge scraper with a rotating bridge</t>
  </si>
  <si>
    <t>peripherally driven sludge suction mechanism with a rotating bridge</t>
  </si>
  <si>
    <t>илоскреб с периферийным приводом с вращающимся мостом</t>
  </si>
  <si>
    <t>илосос с периферийным приводом с вращающимся мостом</t>
  </si>
  <si>
    <t>илоскреб с центральным приводом с неподвижным мостом</t>
  </si>
  <si>
    <t>Wheel type</t>
  </si>
  <si>
    <t>Location of control cabinet</t>
  </si>
  <si>
    <t>D1, mm</t>
  </si>
  <si>
    <t>D2, mm</t>
  </si>
  <si>
    <t>D3, mm</t>
  </si>
  <si>
    <t>D4, mm</t>
  </si>
  <si>
    <t>D5, mm</t>
  </si>
  <si>
    <t>D6, mm</t>
  </si>
  <si>
    <t>D7, mm</t>
  </si>
  <si>
    <t>H1, mm</t>
  </si>
  <si>
    <t>H2, mm</t>
  </si>
  <si>
    <t>H3, mm</t>
  </si>
  <si>
    <t>H4, mm</t>
  </si>
  <si>
    <t>H5, mm</t>
  </si>
  <si>
    <t>H6, mm</t>
  </si>
  <si>
    <t>H7, mm</t>
  </si>
  <si>
    <t>H8, mm</t>
  </si>
  <si>
    <t>B, mm</t>
  </si>
  <si>
    <t>a, mm</t>
  </si>
  <si>
    <t>k1, mm</t>
  </si>
  <si>
    <t>k2, mm</t>
  </si>
  <si>
    <t>Concrete construction type III</t>
  </si>
  <si>
    <t>s, mm</t>
  </si>
  <si>
    <t>A, mm</t>
  </si>
  <si>
    <t>D, mm</t>
  </si>
  <si>
    <t>Hb, mm</t>
  </si>
  <si>
    <t>Hl, mm</t>
  </si>
  <si>
    <t>Wl, mm</t>
  </si>
  <si>
    <t>Concrete construction type I</t>
  </si>
  <si>
    <t>Concrete construction type II</t>
  </si>
  <si>
    <t>Передний привод</t>
  </si>
  <si>
    <t>AMg3 (алюминиевый сплав)</t>
  </si>
  <si>
    <t>AMg3 (Aluminum alloy)</t>
  </si>
  <si>
    <t>Gearmotor</t>
  </si>
  <si>
    <t xml:space="preserve">Shaft-mounted </t>
  </si>
  <si>
    <t>In-wheel motor</t>
  </si>
  <si>
    <t>Мотор редуктор</t>
  </si>
  <si>
    <t>Мотор-колесо</t>
  </si>
  <si>
    <t>Движение тележки</t>
  </si>
  <si>
    <t>Trolley movement</t>
  </si>
  <si>
    <t>Along a tank wall</t>
  </si>
  <si>
    <t>Polyurethane coated steel rim</t>
  </si>
  <si>
    <t>Steel wheel</t>
  </si>
  <si>
    <t>Стальное колесо с полиуретановым покрытием</t>
  </si>
  <si>
    <t>Стальное колесо</t>
  </si>
  <si>
    <t>Движение по борту емкости</t>
  </si>
  <si>
    <t>Front-wheel drive</t>
  </si>
  <si>
    <t>Монтируемый вал</t>
  </si>
  <si>
    <t>Steel rim with solid rubber tyre</t>
  </si>
  <si>
    <t>Steel rim with pneumatic tyre</t>
  </si>
  <si>
    <t>Стальное колесо с пневматической шиной</t>
  </si>
  <si>
    <t>Стальное колесо с цельнолитой резиновой шиной</t>
  </si>
  <si>
    <t>PN</t>
  </si>
  <si>
    <t>Lighting</t>
  </si>
  <si>
    <t>h, mm</t>
  </si>
  <si>
    <t>Type of the opening for supply cable</t>
  </si>
  <si>
    <t xml:space="preserve">DIN 19558, type A
</t>
  </si>
  <si>
    <t xml:space="preserve">DIN 19558, type B
</t>
  </si>
  <si>
    <t>E, mm</t>
  </si>
  <si>
    <t>x, mm</t>
  </si>
  <si>
    <t>y1, mm</t>
  </si>
  <si>
    <t>y2, mm</t>
  </si>
  <si>
    <t>y, mm</t>
  </si>
  <si>
    <t xml:space="preserve">Opening in the wall of the clarrifier
</t>
  </si>
  <si>
    <t xml:space="preserve">Effluent pipe
</t>
  </si>
  <si>
    <t>Rectangular</t>
  </si>
  <si>
    <t>Лоток для сбора осветленной воды</t>
  </si>
  <si>
    <t>Освещение моста</t>
  </si>
  <si>
    <r>
      <t xml:space="preserve">α, </t>
    </r>
    <r>
      <rPr>
        <sz val="11"/>
        <rFont val="Calibri"/>
        <family val="2"/>
        <charset val="204"/>
      </rPr>
      <t>°</t>
    </r>
  </si>
  <si>
    <t>*** Пожалуйста приложите чертежи и другие исходные данные к опросному листу, а также заполните вкладку Drawings. Это ускорит наш ответ.</t>
  </si>
  <si>
    <t>*** Please fill in Drawings sheet, attach the drawings and any other initial information to the completed questionnaire.</t>
  </si>
  <si>
    <t>Circular</t>
  </si>
  <si>
    <t>EKOTON standard</t>
  </si>
  <si>
    <t>DIN 19558, type A</t>
  </si>
  <si>
    <t>DIN 19558, type B</t>
  </si>
  <si>
    <t>Individual design</t>
  </si>
  <si>
    <t>По стандарту ЭКОТОН</t>
  </si>
  <si>
    <t>Индивидуальное исполнение</t>
  </si>
  <si>
    <t xml:space="preserve">EKOTON standard
</t>
  </si>
  <si>
    <t xml:space="preserve">Individual design
</t>
  </si>
  <si>
    <t>Hot dip galvanized steel</t>
  </si>
  <si>
    <t>Горячеоцинкованная сталь</t>
  </si>
  <si>
    <t>Along a rail</t>
  </si>
  <si>
    <t>Движение по рельсу</t>
  </si>
  <si>
    <t>h1, mm</t>
  </si>
  <si>
    <t>h2, mm</t>
  </si>
  <si>
    <t>h3, mm</t>
  </si>
  <si>
    <t>Unilateral</t>
  </si>
  <si>
    <t>Bilateral</t>
  </si>
  <si>
    <t>V-NOTCH WEIR</t>
  </si>
  <si>
    <t>EFFLUENT LAUNDER</t>
  </si>
  <si>
    <t>DISCHARGE FROM EFFLUENT LAUNDER</t>
  </si>
  <si>
    <t>SCUM DISCHARGE</t>
  </si>
  <si>
    <t>DN</t>
  </si>
  <si>
    <t>DIN 19558, тип В</t>
  </si>
  <si>
    <t>DIN 19558, тип А</t>
  </si>
  <si>
    <t>C, mm</t>
  </si>
  <si>
    <t>Select the type of equipment and fill in the table</t>
  </si>
  <si>
    <t>Выберите тип оборудования и заполните таблицу</t>
  </si>
  <si>
    <t>Бетонная емкость тип I</t>
  </si>
  <si>
    <t>Бетонная емкость тип II</t>
  </si>
  <si>
    <t>Бетонная емкость тип III</t>
  </si>
  <si>
    <t>B, мм</t>
  </si>
  <si>
    <t>D1, мм</t>
  </si>
  <si>
    <t>D2, мм</t>
  </si>
  <si>
    <t>D3, мм</t>
  </si>
  <si>
    <t>D4, мм</t>
  </si>
  <si>
    <t>D5, мм</t>
  </si>
  <si>
    <t>D6, мм</t>
  </si>
  <si>
    <t>D7, мм</t>
  </si>
  <si>
    <t>h, мм</t>
  </si>
  <si>
    <t>H1, мм</t>
  </si>
  <si>
    <t>H2, мм</t>
  </si>
  <si>
    <t>H3, мм</t>
  </si>
  <si>
    <t>H4, мм</t>
  </si>
  <si>
    <t>H5, мм</t>
  </si>
  <si>
    <t>H6, мм</t>
  </si>
  <si>
    <t>H7, мм</t>
  </si>
  <si>
    <t>a, мм</t>
  </si>
  <si>
    <t>k1, мм</t>
  </si>
  <si>
    <t>k2, мм</t>
  </si>
  <si>
    <t>H8, мм</t>
  </si>
  <si>
    <t>s, мм</t>
  </si>
  <si>
    <t>C, мм</t>
  </si>
  <si>
    <t>Hb, мм</t>
  </si>
  <si>
    <t>Hl, мм</t>
  </si>
  <si>
    <t>Wl, мм</t>
  </si>
  <si>
    <t>h1, мм</t>
  </si>
  <si>
    <t>h2, мм</t>
  </si>
  <si>
    <t>h3, мм</t>
  </si>
  <si>
    <t>A, мм</t>
  </si>
  <si>
    <t>D, мм</t>
  </si>
  <si>
    <t>E, мм</t>
  </si>
  <si>
    <t>x, мм</t>
  </si>
  <si>
    <t>y1, мм</t>
  </si>
  <si>
    <t>y2, мм</t>
  </si>
  <si>
    <t>y, мм</t>
  </si>
  <si>
    <t>ЛОТОК ДЛЯ СБОРА ОСВЕТЛЕННОЙ ВОДЫ</t>
  </si>
  <si>
    <t>Односторонний</t>
  </si>
  <si>
    <t>Двусторонний</t>
  </si>
  <si>
    <t>ЗУБЧАТЫЙ ПЕРЕЛИВ</t>
  </si>
  <si>
    <t xml:space="preserve">DIN 19558, тип A
</t>
  </si>
  <si>
    <t xml:space="preserve">DIN 19558, тип B
</t>
  </si>
  <si>
    <t xml:space="preserve">По стандарту ЭКОТОН
</t>
  </si>
  <si>
    <t xml:space="preserve">Индивидуальное исполнение
</t>
  </si>
  <si>
    <t>ОТВОД ОСВЕТЛЕННОЙ ВОДЫ</t>
  </si>
  <si>
    <t xml:space="preserve">Отверстие в стене отстойника
</t>
  </si>
  <si>
    <t xml:space="preserve">Отводящая труба
</t>
  </si>
  <si>
    <t>ОТВОД ПЛАВАЮЩИХ ВЕЩЕСТВ</t>
  </si>
  <si>
    <t>Тип отверстия для кабеля</t>
  </si>
  <si>
    <t>Круглое</t>
  </si>
  <si>
    <t>Прямоугольное</t>
  </si>
  <si>
    <t>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</si>
</sst>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vertAlign val="subscript"/>
      <sz val="11"/>
      <name val="Arial"/>
      <family val="2"/>
    </font>
    <font>
      <sz val="11"/>
      <color theme="1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i/>
      <sz val="11"/>
      <name val="Arial"/>
      <family val="2"/>
      <charset val="204"/>
    </font>
    <font>
      <i/>
      <sz val="10"/>
      <name val="Arial"/>
      <family val="2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1"/>
      <name val="Calibri"/>
      <family val="2"/>
      <scheme val="minor"/>
    </font>
    <font>
      <sz val="1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1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i/>
      <sz val="11"/>
      <color theme="1"/>
      <name val="Arial"/>
      <family val="2"/>
    </font>
    <font>
      <b/>
      <sz val="12"/>
      <name val="Arial"/>
      <family val="2"/>
      <charset val="204"/>
    </font>
    <font>
      <b/>
      <sz val="12"/>
      <color theme="2"/>
      <name val="Arial"/>
      <family val="2"/>
      <charset val="204"/>
    </font>
    <font>
      <sz val="10"/>
      <name val="Arial"/>
      <family val="2"/>
      <charset val="204"/>
    </font>
    <font>
      <sz val="12"/>
      <color theme="1"/>
      <name val="Calibri"/>
      <family val="2"/>
      <scheme val="minor"/>
    </font>
    <font>
      <b/>
      <sz val="11"/>
      <color theme="2"/>
      <name val="Arial"/>
      <family val="2"/>
      <charset val="204"/>
    </font>
    <font>
      <b/>
      <sz val="14"/>
      <color theme="1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749992370372631"/>
        <bgColor indexed="64"/>
      </patternFill>
    </fill>
  </fills>
  <borders count="6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22">
    <xf numFmtId="0" fontId="0" fillId="0" borderId="0" xfId="0"/>
    <xf numFmtId="0" fontId="4" fillId="2" borderId="20" xfId="0" applyFont="1" applyFill="1" applyBorder="1" applyAlignment="1" applyProtection="1">
      <alignment horizontal="left"/>
      <protection locked="0"/>
    </xf>
    <xf numFmtId="0" fontId="2" fillId="3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3" fillId="3" borderId="0" xfId="0" applyFont="1" applyFill="1" applyProtection="1">
      <protection hidden="1"/>
    </xf>
    <xf numFmtId="0" fontId="2" fillId="5" borderId="23" xfId="0" applyFont="1" applyFill="1" applyBorder="1" applyProtection="1">
      <protection hidden="1"/>
    </xf>
    <xf numFmtId="0" fontId="2" fillId="2" borderId="23" xfId="0" applyFont="1" applyFill="1" applyBorder="1" applyProtection="1">
      <protection hidden="1"/>
    </xf>
    <xf numFmtId="0" fontId="2" fillId="3" borderId="4" xfId="0" applyFont="1" applyFill="1" applyBorder="1" applyProtection="1">
      <protection hidden="1"/>
    </xf>
    <xf numFmtId="0" fontId="2" fillId="3" borderId="4" xfId="0" applyFont="1" applyFill="1" applyBorder="1" applyAlignment="1" applyProtection="1">
      <alignment wrapText="1"/>
      <protection hidden="1"/>
    </xf>
    <xf numFmtId="0" fontId="2" fillId="0" borderId="9" xfId="0" applyFont="1" applyBorder="1" applyProtection="1">
      <protection hidden="1"/>
    </xf>
    <xf numFmtId="0" fontId="2" fillId="0" borderId="7" xfId="0" applyFont="1" applyBorder="1" applyProtection="1">
      <protection hidden="1"/>
    </xf>
    <xf numFmtId="0" fontId="2" fillId="0" borderId="8" xfId="0" applyFont="1" applyBorder="1" applyProtection="1">
      <protection hidden="1"/>
    </xf>
    <xf numFmtId="0" fontId="2" fillId="0" borderId="24" xfId="0" applyFont="1" applyBorder="1" applyProtection="1">
      <protection hidden="1"/>
    </xf>
    <xf numFmtId="0" fontId="2" fillId="0" borderId="32" xfId="0" applyFont="1" applyBorder="1" applyProtection="1">
      <protection hidden="1"/>
    </xf>
    <xf numFmtId="0" fontId="2" fillId="3" borderId="9" xfId="0" applyFont="1" applyFill="1" applyBorder="1" applyProtection="1">
      <protection hidden="1"/>
    </xf>
    <xf numFmtId="0" fontId="2" fillId="0" borderId="0" xfId="0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2" fillId="3" borderId="25" xfId="0" applyFont="1" applyFill="1" applyBorder="1" applyProtection="1">
      <protection hidden="1"/>
    </xf>
    <xf numFmtId="49" fontId="2" fillId="3" borderId="4" xfId="0" applyNumberFormat="1" applyFont="1" applyFill="1" applyBorder="1" applyProtection="1">
      <protection hidden="1"/>
    </xf>
    <xf numFmtId="0" fontId="8" fillId="0" borderId="11" xfId="0" applyFont="1" applyBorder="1" applyProtection="1">
      <protection hidden="1"/>
    </xf>
    <xf numFmtId="0" fontId="4" fillId="2" borderId="19" xfId="0" applyFont="1" applyFill="1" applyBorder="1" applyAlignment="1" applyProtection="1">
      <alignment horizontal="left"/>
      <protection locked="0"/>
    </xf>
    <xf numFmtId="0" fontId="2" fillId="0" borderId="37" xfId="0" applyFont="1" applyBorder="1" applyProtection="1">
      <protection hidden="1"/>
    </xf>
    <xf numFmtId="0" fontId="8" fillId="0" borderId="17" xfId="0" applyFont="1" applyBorder="1" applyProtection="1">
      <protection hidden="1"/>
    </xf>
    <xf numFmtId="0" fontId="11" fillId="2" borderId="39" xfId="0" applyFont="1" applyFill="1" applyBorder="1" applyAlignment="1" applyProtection="1">
      <alignment horizontal="left" vertical="top"/>
      <protection locked="0"/>
    </xf>
    <xf numFmtId="0" fontId="4" fillId="2" borderId="30" xfId="0" applyFont="1" applyFill="1" applyBorder="1" applyAlignment="1" applyProtection="1">
      <alignment horizontal="left"/>
      <protection locked="0"/>
    </xf>
    <xf numFmtId="0" fontId="4" fillId="2" borderId="12" xfId="0" applyFont="1" applyFill="1" applyBorder="1" applyAlignment="1" applyProtection="1">
      <alignment horizontal="left"/>
      <protection locked="0"/>
    </xf>
    <xf numFmtId="0" fontId="12" fillId="3" borderId="35" xfId="0" applyFont="1" applyFill="1" applyBorder="1" applyAlignment="1" applyProtection="1">
      <alignment horizontal="left" vertical="center"/>
      <protection hidden="1"/>
    </xf>
    <xf numFmtId="49" fontId="10" fillId="2" borderId="43" xfId="0" applyNumberFormat="1" applyFont="1" applyFill="1" applyBorder="1" applyAlignment="1" applyProtection="1">
      <alignment horizontal="left" vertical="center" wrapText="1"/>
      <protection locked="0" hidden="1"/>
    </xf>
    <xf numFmtId="0" fontId="2" fillId="3" borderId="35" xfId="0" applyFont="1" applyFill="1" applyBorder="1" applyAlignment="1" applyProtection="1">
      <alignment horizontal="left" vertical="center"/>
      <protection hidden="1"/>
    </xf>
    <xf numFmtId="0" fontId="12" fillId="3" borderId="40" xfId="0" applyFont="1" applyFill="1" applyBorder="1" applyAlignment="1" applyProtection="1">
      <alignment horizontal="left" vertical="center"/>
      <protection hidden="1"/>
    </xf>
    <xf numFmtId="49" fontId="10" fillId="2" borderId="39" xfId="0" applyNumberFormat="1" applyFont="1" applyFill="1" applyBorder="1" applyAlignment="1" applyProtection="1">
      <alignment horizontal="left" vertical="center" wrapText="1"/>
      <protection locked="0" hidden="1"/>
    </xf>
    <xf numFmtId="0" fontId="2" fillId="3" borderId="40" xfId="0" applyFont="1" applyFill="1" applyBorder="1" applyAlignment="1" applyProtection="1">
      <alignment horizontal="left" vertical="center"/>
      <protection hidden="1"/>
    </xf>
    <xf numFmtId="0" fontId="10" fillId="0" borderId="0" xfId="0" applyFont="1" applyProtection="1">
      <protection hidden="1"/>
    </xf>
    <xf numFmtId="0" fontId="12" fillId="3" borderId="0" xfId="0" applyFont="1" applyFill="1" applyProtection="1">
      <protection hidden="1"/>
    </xf>
    <xf numFmtId="0" fontId="13" fillId="0" borderId="0" xfId="0" applyFont="1" applyProtection="1">
      <protection hidden="1"/>
    </xf>
    <xf numFmtId="0" fontId="2" fillId="0" borderId="22" xfId="0" applyFont="1" applyBorder="1" applyProtection="1">
      <protection hidden="1"/>
    </xf>
    <xf numFmtId="0" fontId="4" fillId="2" borderId="31" xfId="0" applyFont="1" applyFill="1" applyBorder="1" applyAlignment="1" applyProtection="1">
      <alignment horizontal="left"/>
      <protection locked="0"/>
    </xf>
    <xf numFmtId="0" fontId="2" fillId="0" borderId="38" xfId="0" applyFont="1" applyBorder="1" applyAlignment="1" applyProtection="1">
      <alignment horizontal="center" vertical="center" wrapText="1"/>
      <protection hidden="1"/>
    </xf>
    <xf numFmtId="0" fontId="7" fillId="2" borderId="28" xfId="0" applyFont="1" applyFill="1" applyBorder="1" applyAlignment="1" applyProtection="1">
      <alignment horizontal="left"/>
      <protection locked="0"/>
    </xf>
    <xf numFmtId="0" fontId="7" fillId="2" borderId="17" xfId="0" applyFont="1" applyFill="1" applyBorder="1" applyAlignment="1" applyProtection="1">
      <alignment horizontal="left"/>
      <protection locked="0"/>
    </xf>
    <xf numFmtId="0" fontId="7" fillId="2" borderId="16" xfId="0" applyFont="1" applyFill="1" applyBorder="1" applyAlignment="1" applyProtection="1">
      <alignment horizontal="left"/>
      <protection locked="0"/>
    </xf>
    <xf numFmtId="0" fontId="6" fillId="0" borderId="20" xfId="0" applyFont="1" applyBorder="1" applyProtection="1">
      <protection hidden="1"/>
    </xf>
    <xf numFmtId="0" fontId="2" fillId="0" borderId="30" xfId="0" applyFont="1" applyBorder="1" applyAlignment="1" applyProtection="1">
      <alignment vertical="center" wrapText="1"/>
      <protection hidden="1"/>
    </xf>
    <xf numFmtId="0" fontId="2" fillId="0" borderId="38" xfId="0" applyFont="1" applyBorder="1" applyAlignment="1" applyProtection="1">
      <alignment horizontal="left" vertical="center" wrapText="1"/>
      <protection hidden="1"/>
    </xf>
    <xf numFmtId="0" fontId="2" fillId="0" borderId="0" xfId="0" applyFont="1" applyAlignment="1" applyProtection="1">
      <alignment horizontal="left"/>
      <protection hidden="1"/>
    </xf>
    <xf numFmtId="0" fontId="2" fillId="3" borderId="0" xfId="0" applyFont="1" applyFill="1" applyAlignment="1" applyProtection="1">
      <alignment horizontal="left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3" borderId="0" xfId="0" applyFont="1" applyFill="1" applyAlignment="1" applyProtection="1">
      <alignment horizontal="center"/>
      <protection hidden="1"/>
    </xf>
    <xf numFmtId="0" fontId="12" fillId="0" borderId="0" xfId="0" applyFont="1" applyProtection="1">
      <protection hidden="1"/>
    </xf>
    <xf numFmtId="0" fontId="8" fillId="0" borderId="43" xfId="0" applyFont="1" applyBorder="1"/>
    <xf numFmtId="0" fontId="4" fillId="6" borderId="35" xfId="0" applyFont="1" applyFill="1" applyBorder="1" applyAlignment="1" applyProtection="1">
      <alignment horizontal="left" vertical="center"/>
      <protection locked="0"/>
    </xf>
    <xf numFmtId="0" fontId="4" fillId="6" borderId="18" xfId="0" applyFont="1" applyFill="1" applyBorder="1" applyAlignment="1" applyProtection="1">
      <alignment horizontal="left" vertical="center" wrapText="1"/>
      <protection locked="0"/>
    </xf>
    <xf numFmtId="0" fontId="0" fillId="0" borderId="20" xfId="0" applyBorder="1" applyAlignment="1">
      <alignment horizontal="left"/>
    </xf>
    <xf numFmtId="0" fontId="8" fillId="0" borderId="44" xfId="0" applyFont="1" applyBorder="1"/>
    <xf numFmtId="0" fontId="8" fillId="0" borderId="39" xfId="0" applyFont="1" applyBorder="1"/>
    <xf numFmtId="0" fontId="2" fillId="0" borderId="11" xfId="0" applyFont="1" applyBorder="1" applyAlignment="1" applyProtection="1">
      <alignment vertical="center"/>
      <protection hidden="1"/>
    </xf>
    <xf numFmtId="0" fontId="2" fillId="0" borderId="8" xfId="0" applyFont="1" applyBorder="1" applyAlignment="1" applyProtection="1">
      <alignment vertical="center"/>
      <protection hidden="1"/>
    </xf>
    <xf numFmtId="0" fontId="2" fillId="0" borderId="9" xfId="0" applyFont="1" applyBorder="1" applyAlignment="1" applyProtection="1">
      <alignment vertical="center"/>
      <protection hidden="1"/>
    </xf>
    <xf numFmtId="0" fontId="0" fillId="0" borderId="19" xfId="0" applyBorder="1" applyAlignment="1">
      <alignment horizontal="left"/>
    </xf>
    <xf numFmtId="0" fontId="8" fillId="0" borderId="40" xfId="0" applyFont="1" applyBorder="1" applyProtection="1">
      <protection hidden="1"/>
    </xf>
    <xf numFmtId="0" fontId="8" fillId="0" borderId="35" xfId="0" applyFont="1" applyBorder="1" applyAlignment="1" applyProtection="1">
      <alignment horizontal="left" vertical="center" wrapText="1"/>
      <protection hidden="1"/>
    </xf>
    <xf numFmtId="0" fontId="8" fillId="0" borderId="40" xfId="0" applyFont="1" applyBorder="1" applyAlignment="1" applyProtection="1">
      <alignment horizontal="left" vertical="center" wrapText="1"/>
      <protection hidden="1"/>
    </xf>
    <xf numFmtId="0" fontId="8" fillId="0" borderId="35" xfId="0" applyFont="1" applyBorder="1" applyProtection="1">
      <protection hidden="1"/>
    </xf>
    <xf numFmtId="0" fontId="8" fillId="0" borderId="43" xfId="0" applyFont="1" applyBorder="1" applyProtection="1">
      <protection hidden="1"/>
    </xf>
    <xf numFmtId="49" fontId="8" fillId="0" borderId="43" xfId="0" applyNumberFormat="1" applyFont="1" applyBorder="1" applyProtection="1">
      <protection hidden="1"/>
    </xf>
    <xf numFmtId="0" fontId="8" fillId="7" borderId="43" xfId="0" applyFont="1" applyFill="1" applyBorder="1" applyProtection="1">
      <protection hidden="1"/>
    </xf>
    <xf numFmtId="0" fontId="2" fillId="0" borderId="50" xfId="0" applyFont="1" applyBorder="1" applyAlignment="1" applyProtection="1">
      <alignment horizontal="center"/>
      <protection hidden="1"/>
    </xf>
    <xf numFmtId="0" fontId="4" fillId="2" borderId="51" xfId="0" applyFont="1" applyFill="1" applyBorder="1" applyAlignment="1" applyProtection="1">
      <alignment horizontal="left"/>
      <protection locked="0"/>
    </xf>
    <xf numFmtId="0" fontId="7" fillId="2" borderId="18" xfId="0" applyFont="1" applyFill="1" applyBorder="1" applyAlignment="1" applyProtection="1">
      <alignment horizontal="left"/>
      <protection locked="0"/>
    </xf>
    <xf numFmtId="0" fontId="7" fillId="2" borderId="19" xfId="0" applyFont="1" applyFill="1" applyBorder="1" applyAlignment="1" applyProtection="1">
      <alignment horizontal="left"/>
      <protection locked="0"/>
    </xf>
    <xf numFmtId="0" fontId="7" fillId="2" borderId="20" xfId="0" applyFont="1" applyFill="1" applyBorder="1" applyAlignment="1" applyProtection="1">
      <alignment horizontal="left"/>
      <protection locked="0"/>
    </xf>
    <xf numFmtId="0" fontId="2" fillId="3" borderId="0" xfId="0" applyFont="1" applyFill="1" applyAlignment="1" applyProtection="1">
      <alignment wrapText="1"/>
      <protection hidden="1"/>
    </xf>
    <xf numFmtId="0" fontId="4" fillId="6" borderId="18" xfId="0" applyFont="1" applyFill="1" applyBorder="1" applyAlignment="1" applyProtection="1">
      <alignment vertical="center"/>
      <protection locked="0"/>
    </xf>
    <xf numFmtId="0" fontId="8" fillId="6" borderId="43" xfId="0" applyFont="1" applyFill="1" applyBorder="1" applyAlignment="1" applyProtection="1">
      <alignment horizontal="left" vertical="center" wrapText="1"/>
      <protection hidden="1"/>
    </xf>
    <xf numFmtId="0" fontId="4" fillId="6" borderId="35" xfId="0" applyFont="1" applyFill="1" applyBorder="1" applyAlignment="1" applyProtection="1">
      <alignment vertical="center"/>
      <protection locked="0"/>
    </xf>
    <xf numFmtId="0" fontId="8" fillId="0" borderId="23" xfId="0" applyFont="1" applyBorder="1"/>
    <xf numFmtId="0" fontId="0" fillId="6" borderId="43" xfId="0" applyFill="1" applyBorder="1"/>
    <xf numFmtId="0" fontId="7" fillId="6" borderId="43" xfId="0" applyFont="1" applyFill="1" applyBorder="1" applyProtection="1">
      <protection locked="0"/>
    </xf>
    <xf numFmtId="0" fontId="6" fillId="0" borderId="43" xfId="0" applyFont="1" applyBorder="1" applyProtection="1">
      <protection hidden="1"/>
    </xf>
    <xf numFmtId="0" fontId="2" fillId="0" borderId="43" xfId="0" applyFont="1" applyBorder="1" applyAlignment="1" applyProtection="1">
      <alignment vertical="center"/>
      <protection hidden="1"/>
    </xf>
    <xf numFmtId="0" fontId="2" fillId="0" borderId="20" xfId="0" applyFont="1" applyBorder="1" applyAlignment="1" applyProtection="1">
      <alignment vertical="center"/>
      <protection hidden="1"/>
    </xf>
    <xf numFmtId="0" fontId="7" fillId="6" borderId="36" xfId="0" applyFont="1" applyFill="1" applyBorder="1" applyAlignment="1" applyProtection="1">
      <alignment horizontal="left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7" fillId="6" borderId="31" xfId="0" applyFont="1" applyFill="1" applyBorder="1" applyAlignment="1" applyProtection="1">
      <alignment horizontal="left"/>
      <protection locked="0"/>
    </xf>
    <xf numFmtId="0" fontId="7" fillId="2" borderId="52" xfId="0" applyFont="1" applyFill="1" applyBorder="1" applyAlignment="1" applyProtection="1">
      <alignment horizontal="left"/>
      <protection locked="0"/>
    </xf>
    <xf numFmtId="0" fontId="8" fillId="6" borderId="39" xfId="0" applyFont="1" applyFill="1" applyBorder="1" applyProtection="1">
      <protection hidden="1"/>
    </xf>
    <xf numFmtId="0" fontId="8" fillId="0" borderId="35" xfId="0" applyFont="1" applyBorder="1" applyAlignment="1" applyProtection="1">
      <alignment wrapText="1"/>
      <protection hidden="1"/>
    </xf>
    <xf numFmtId="0" fontId="2" fillId="3" borderId="46" xfId="0" applyFont="1" applyFill="1" applyBorder="1" applyProtection="1">
      <protection hidden="1"/>
    </xf>
    <xf numFmtId="0" fontId="2" fillId="3" borderId="46" xfId="0" applyFont="1" applyFill="1" applyBorder="1" applyAlignment="1" applyProtection="1">
      <alignment wrapText="1"/>
      <protection hidden="1"/>
    </xf>
    <xf numFmtId="0" fontId="2" fillId="3" borderId="3" xfId="0" applyFont="1" applyFill="1" applyBorder="1" applyProtection="1">
      <protection hidden="1"/>
    </xf>
    <xf numFmtId="0" fontId="2" fillId="0" borderId="43" xfId="0" applyFont="1" applyBorder="1" applyProtection="1">
      <protection hidden="1"/>
    </xf>
    <xf numFmtId="0" fontId="2" fillId="0" borderId="35" xfId="0" applyFont="1" applyBorder="1" applyProtection="1">
      <protection hidden="1"/>
    </xf>
    <xf numFmtId="0" fontId="2" fillId="0" borderId="35" xfId="0" applyFont="1" applyBorder="1" applyAlignment="1" applyProtection="1">
      <alignment wrapText="1"/>
      <protection hidden="1"/>
    </xf>
    <xf numFmtId="0" fontId="2" fillId="6" borderId="39" xfId="0" applyFont="1" applyFill="1" applyBorder="1" applyProtection="1">
      <protection hidden="1"/>
    </xf>
    <xf numFmtId="0" fontId="12" fillId="0" borderId="40" xfId="0" applyFont="1" applyBorder="1" applyAlignment="1" applyProtection="1">
      <alignment vertical="center"/>
      <protection hidden="1"/>
    </xf>
    <xf numFmtId="0" fontId="2" fillId="0" borderId="40" xfId="0" applyFont="1" applyBorder="1" applyProtection="1">
      <protection hidden="1"/>
    </xf>
    <xf numFmtId="0" fontId="8" fillId="6" borderId="39" xfId="0" applyFont="1" applyFill="1" applyBorder="1" applyAlignment="1" applyProtection="1">
      <alignment horizontal="left" vertical="center" wrapText="1"/>
      <protection hidden="1"/>
    </xf>
    <xf numFmtId="0" fontId="0" fillId="0" borderId="23" xfId="0" applyBorder="1" applyAlignment="1">
      <alignment horizontal="left"/>
    </xf>
    <xf numFmtId="0" fontId="0" fillId="7" borderId="43" xfId="0" applyFill="1" applyBorder="1" applyAlignment="1">
      <alignment horizontal="left"/>
    </xf>
    <xf numFmtId="0" fontId="1" fillId="0" borderId="53" xfId="0" applyFont="1" applyBorder="1" applyAlignment="1" applyProtection="1">
      <alignment horizontal="center"/>
      <protection locked="0"/>
    </xf>
    <xf numFmtId="0" fontId="8" fillId="6" borderId="54" xfId="0" applyFont="1" applyFill="1" applyBorder="1" applyAlignment="1" applyProtection="1">
      <alignment horizontal="left"/>
      <protection locked="0"/>
    </xf>
    <xf numFmtId="0" fontId="12" fillId="8" borderId="35" xfId="0" applyFont="1" applyFill="1" applyBorder="1" applyAlignment="1" applyProtection="1">
      <alignment vertical="center"/>
      <protection locked="0"/>
    </xf>
    <xf numFmtId="0" fontId="2" fillId="3" borderId="29" xfId="0" applyFont="1" applyFill="1" applyBorder="1" applyAlignment="1" applyProtection="1">
      <alignment horizontal="left" vertical="center"/>
      <protection hidden="1"/>
    </xf>
    <xf numFmtId="0" fontId="12" fillId="0" borderId="40" xfId="0" applyFont="1" applyBorder="1" applyAlignment="1" applyProtection="1">
      <alignment horizontal="left" vertical="center" wrapText="1"/>
      <protection hidden="1"/>
    </xf>
    <xf numFmtId="0" fontId="12" fillId="0" borderId="0" xfId="0" applyFont="1" applyAlignment="1" applyProtection="1">
      <alignment horizontal="left" vertical="center"/>
      <protection hidden="1"/>
    </xf>
    <xf numFmtId="0" fontId="12" fillId="3" borderId="0" xfId="0" applyFont="1" applyFill="1" applyAlignment="1" applyProtection="1">
      <alignment horizontal="left" vertical="center"/>
      <protection hidden="1"/>
    </xf>
    <xf numFmtId="0" fontId="13" fillId="3" borderId="0" xfId="0" applyFont="1" applyFill="1" applyAlignment="1" applyProtection="1">
      <alignment horizontal="left" vertical="center"/>
      <protection hidden="1"/>
    </xf>
    <xf numFmtId="0" fontId="12" fillId="0" borderId="23" xfId="0" applyFont="1" applyBorder="1" applyAlignment="1" applyProtection="1">
      <alignment horizontal="left" vertical="center"/>
      <protection hidden="1"/>
    </xf>
    <xf numFmtId="0" fontId="12" fillId="3" borderId="0" xfId="0" applyFont="1" applyFill="1" applyAlignment="1" applyProtection="1">
      <alignment horizontal="left" vertical="center" wrapText="1"/>
      <protection hidden="1"/>
    </xf>
    <xf numFmtId="0" fontId="12" fillId="0" borderId="23" xfId="0" applyFont="1" applyBorder="1" applyAlignment="1" applyProtection="1">
      <alignment horizontal="left" vertical="center" wrapText="1"/>
      <protection hidden="1"/>
    </xf>
    <xf numFmtId="0" fontId="12" fillId="0" borderId="35" xfId="0" applyFont="1" applyBorder="1" applyAlignment="1" applyProtection="1">
      <alignment horizontal="left" vertical="center"/>
      <protection hidden="1"/>
    </xf>
    <xf numFmtId="0" fontId="12" fillId="0" borderId="35" xfId="0" applyFont="1" applyBorder="1" applyAlignment="1" applyProtection="1">
      <alignment horizontal="left" vertical="center" wrapText="1"/>
      <protection hidden="1"/>
    </xf>
    <xf numFmtId="49" fontId="12" fillId="3" borderId="0" xfId="0" applyNumberFormat="1" applyFont="1" applyFill="1" applyAlignment="1" applyProtection="1">
      <alignment horizontal="left" vertical="center"/>
      <protection hidden="1"/>
    </xf>
    <xf numFmtId="0" fontId="12" fillId="7" borderId="23" xfId="0" applyFont="1" applyFill="1" applyBorder="1" applyAlignment="1" applyProtection="1">
      <alignment horizontal="left" vertical="center"/>
      <protection hidden="1"/>
    </xf>
    <xf numFmtId="2" fontId="10" fillId="7" borderId="39" xfId="0" applyNumberFormat="1" applyFont="1" applyFill="1" applyBorder="1" applyAlignment="1" applyProtection="1">
      <alignment horizontal="left" vertical="center" wrapText="1"/>
      <protection locked="0" hidden="1"/>
    </xf>
    <xf numFmtId="0" fontId="0" fillId="3" borderId="0" xfId="0" applyFill="1" applyProtection="1">
      <protection hidden="1"/>
    </xf>
    <xf numFmtId="0" fontId="12" fillId="3" borderId="23" xfId="0" applyFont="1" applyFill="1" applyBorder="1" applyAlignment="1" applyProtection="1">
      <alignment horizontal="left" vertical="center"/>
      <protection hidden="1"/>
    </xf>
    <xf numFmtId="0" fontId="2" fillId="0" borderId="23" xfId="0" applyFont="1" applyBorder="1" applyProtection="1">
      <protection hidden="1"/>
    </xf>
    <xf numFmtId="0" fontId="13" fillId="0" borderId="23" xfId="0" applyFont="1" applyBorder="1" applyProtection="1">
      <protection hidden="1"/>
    </xf>
    <xf numFmtId="0" fontId="2" fillId="0" borderId="18" xfId="0" applyFont="1" applyBorder="1" applyAlignment="1" applyProtection="1">
      <alignment vertical="center" wrapText="1"/>
      <protection hidden="1"/>
    </xf>
    <xf numFmtId="0" fontId="0" fillId="0" borderId="20" xfId="0" applyBorder="1"/>
    <xf numFmtId="0" fontId="2" fillId="0" borderId="18" xfId="0" applyFont="1" applyBorder="1" applyAlignment="1" applyProtection="1">
      <alignment vertical="center"/>
      <protection hidden="1"/>
    </xf>
    <xf numFmtId="0" fontId="2" fillId="0" borderId="19" xfId="0" applyFont="1" applyBorder="1" applyAlignment="1" applyProtection="1">
      <alignment vertical="center"/>
      <protection hidden="1"/>
    </xf>
    <xf numFmtId="0" fontId="12" fillId="8" borderId="47" xfId="0" applyFont="1" applyFill="1" applyBorder="1" applyAlignment="1" applyProtection="1">
      <alignment vertical="center"/>
      <protection locked="0"/>
    </xf>
    <xf numFmtId="0" fontId="8" fillId="0" borderId="19" xfId="0" applyFont="1" applyBorder="1"/>
    <xf numFmtId="0" fontId="0" fillId="6" borderId="20" xfId="0" applyFill="1" applyBorder="1"/>
    <xf numFmtId="0" fontId="2" fillId="3" borderId="36" xfId="0" applyFont="1" applyFill="1" applyBorder="1" applyAlignment="1" applyProtection="1">
      <alignment horizontal="left" vertical="center"/>
      <protection hidden="1"/>
    </xf>
    <xf numFmtId="0" fontId="2" fillId="0" borderId="24" xfId="0" applyFont="1" applyBorder="1" applyAlignment="1" applyProtection="1">
      <alignment vertical="center"/>
      <protection hidden="1"/>
    </xf>
    <xf numFmtId="0" fontId="4" fillId="6" borderId="57" xfId="0" applyFont="1" applyFill="1" applyBorder="1" applyAlignment="1" applyProtection="1">
      <alignment horizontal="left" vertical="center"/>
      <protection locked="0"/>
    </xf>
    <xf numFmtId="0" fontId="4" fillId="6" borderId="30" xfId="0" applyFont="1" applyFill="1" applyBorder="1" applyAlignment="1" applyProtection="1">
      <alignment horizontal="left" vertical="center"/>
      <protection locked="0"/>
    </xf>
    <xf numFmtId="0" fontId="4" fillId="6" borderId="12" xfId="0" applyFont="1" applyFill="1" applyBorder="1" applyAlignment="1" applyProtection="1">
      <alignment horizontal="left" vertical="center"/>
      <protection locked="0"/>
    </xf>
    <xf numFmtId="0" fontId="4" fillId="6" borderId="57" xfId="0" applyFont="1" applyFill="1" applyBorder="1" applyAlignment="1" applyProtection="1">
      <alignment horizontal="left" vertical="center" wrapText="1"/>
      <protection locked="0"/>
    </xf>
    <xf numFmtId="0" fontId="4" fillId="6" borderId="30" xfId="0" applyFont="1" applyFill="1" applyBorder="1" applyAlignment="1" applyProtection="1">
      <alignment horizontal="left" vertical="center" wrapText="1"/>
      <protection locked="0"/>
    </xf>
    <xf numFmtId="0" fontId="4" fillId="6" borderId="12" xfId="0" applyFont="1" applyFill="1" applyBorder="1" applyAlignment="1" applyProtection="1">
      <alignment horizontal="left" vertical="center" wrapText="1"/>
      <protection locked="0"/>
    </xf>
    <xf numFmtId="0" fontId="2" fillId="3" borderId="35" xfId="0" applyFont="1" applyFill="1" applyBorder="1" applyAlignment="1" applyProtection="1">
      <alignment horizontal="left" vertical="center" wrapText="1"/>
      <protection hidden="1"/>
    </xf>
    <xf numFmtId="0" fontId="0" fillId="3" borderId="59" xfId="0" applyFill="1" applyBorder="1" applyProtection="1">
      <protection hidden="1"/>
    </xf>
    <xf numFmtId="0" fontId="8" fillId="3" borderId="23" xfId="0" applyFont="1" applyFill="1" applyBorder="1" applyAlignment="1" applyProtection="1">
      <alignment horizontal="left" vertical="center"/>
      <protection locked="0" hidden="1"/>
    </xf>
    <xf numFmtId="0" fontId="10" fillId="7" borderId="23" xfId="0" applyFont="1" applyFill="1" applyBorder="1" applyAlignment="1" applyProtection="1">
      <alignment horizontal="left" vertical="center"/>
      <protection locked="0" hidden="1"/>
    </xf>
    <xf numFmtId="0" fontId="10" fillId="7" borderId="43" xfId="0" applyFont="1" applyFill="1" applyBorder="1" applyAlignment="1" applyProtection="1">
      <alignment horizontal="left" vertical="center"/>
      <protection locked="0" hidden="1"/>
    </xf>
    <xf numFmtId="0" fontId="4" fillId="7" borderId="23" xfId="0" applyFont="1" applyFill="1" applyBorder="1" applyAlignment="1" applyProtection="1">
      <alignment horizontal="left" vertical="center"/>
      <protection locked="0" hidden="1"/>
    </xf>
    <xf numFmtId="0" fontId="4" fillId="7" borderId="43" xfId="0" applyFont="1" applyFill="1" applyBorder="1" applyAlignment="1" applyProtection="1">
      <alignment horizontal="left" vertical="center"/>
      <protection locked="0" hidden="1"/>
    </xf>
    <xf numFmtId="0" fontId="10" fillId="7" borderId="45" xfId="0" applyFont="1" applyFill="1" applyBorder="1" applyAlignment="1" applyProtection="1">
      <alignment horizontal="left" vertical="center"/>
      <protection locked="0" hidden="1"/>
    </xf>
    <xf numFmtId="0" fontId="10" fillId="7" borderId="19" xfId="0" applyFont="1" applyFill="1" applyBorder="1" applyAlignment="1" applyProtection="1">
      <alignment horizontal="left" vertical="center"/>
      <protection locked="0" hidden="1"/>
    </xf>
    <xf numFmtId="0" fontId="10" fillId="7" borderId="20" xfId="0" applyFont="1" applyFill="1" applyBorder="1" applyAlignment="1" applyProtection="1">
      <alignment horizontal="left" vertical="center"/>
      <protection locked="0" hidden="1"/>
    </xf>
    <xf numFmtId="0" fontId="10" fillId="7" borderId="58" xfId="0" applyFont="1" applyFill="1" applyBorder="1" applyAlignment="1" applyProtection="1">
      <alignment horizontal="left" vertical="center"/>
      <protection locked="0" hidden="1"/>
    </xf>
    <xf numFmtId="0" fontId="10" fillId="7" borderId="30" xfId="0" applyFont="1" applyFill="1" applyBorder="1" applyAlignment="1" applyProtection="1">
      <alignment horizontal="left" vertical="center"/>
      <protection locked="0" hidden="1"/>
    </xf>
    <xf numFmtId="0" fontId="10" fillId="7" borderId="12" xfId="0" applyFont="1" applyFill="1" applyBorder="1" applyAlignment="1" applyProtection="1">
      <alignment horizontal="left" vertical="center"/>
      <protection locked="0" hidden="1"/>
    </xf>
    <xf numFmtId="0" fontId="18" fillId="3" borderId="0" xfId="0" applyFont="1" applyFill="1" applyProtection="1">
      <protection hidden="1"/>
    </xf>
    <xf numFmtId="0" fontId="6" fillId="3" borderId="23" xfId="0" applyFont="1" applyFill="1" applyBorder="1" applyAlignment="1" applyProtection="1">
      <alignment horizontal="left" vertical="center"/>
      <protection locked="0" hidden="1"/>
    </xf>
    <xf numFmtId="0" fontId="0" fillId="3" borderId="30" xfId="0" applyFill="1" applyBorder="1" applyProtection="1">
      <protection hidden="1"/>
    </xf>
    <xf numFmtId="0" fontId="4" fillId="7" borderId="31" xfId="0" applyFont="1" applyFill="1" applyBorder="1" applyAlignment="1" applyProtection="1">
      <alignment horizontal="left" vertical="center"/>
      <protection locked="0" hidden="1"/>
    </xf>
    <xf numFmtId="0" fontId="4" fillId="7" borderId="39" xfId="0" applyFont="1" applyFill="1" applyBorder="1" applyAlignment="1" applyProtection="1">
      <alignment horizontal="left" vertical="center"/>
      <protection locked="0" hidden="1"/>
    </xf>
    <xf numFmtId="0" fontId="0" fillId="0" borderId="30" xfId="0" applyBorder="1" applyProtection="1">
      <protection hidden="1"/>
    </xf>
    <xf numFmtId="0" fontId="0" fillId="0" borderId="59" xfId="0" applyBorder="1" applyProtection="1">
      <protection hidden="1"/>
    </xf>
    <xf numFmtId="0" fontId="10" fillId="7" borderId="20" xfId="0" applyFont="1" applyFill="1" applyBorder="1" applyAlignment="1" applyProtection="1">
      <alignment vertical="center" wrapText="1"/>
      <protection locked="0" hidden="1"/>
    </xf>
    <xf numFmtId="0" fontId="16" fillId="3" borderId="0" xfId="0" applyFont="1" applyFill="1" applyAlignment="1" applyProtection="1">
      <alignment horizontal="center"/>
      <protection hidden="1"/>
    </xf>
    <xf numFmtId="0" fontId="10" fillId="7" borderId="39" xfId="0" applyFont="1" applyFill="1" applyBorder="1" applyAlignment="1" applyProtection="1">
      <alignment horizontal="left" vertical="center"/>
      <protection locked="0" hidden="1"/>
    </xf>
    <xf numFmtId="0" fontId="10" fillId="3" borderId="0" xfId="0" applyFont="1" applyFill="1" applyAlignment="1" applyProtection="1">
      <alignment horizontal="left" vertical="center"/>
      <protection hidden="1"/>
    </xf>
    <xf numFmtId="0" fontId="12" fillId="0" borderId="40" xfId="0" applyFont="1" applyBorder="1" applyAlignment="1" applyProtection="1">
      <alignment horizontal="left" vertical="center"/>
      <protection hidden="1"/>
    </xf>
    <xf numFmtId="0" fontId="12" fillId="0" borderId="23" xfId="0" applyFont="1" applyBorder="1" applyAlignment="1" applyProtection="1">
      <alignment vertical="center" wrapText="1"/>
      <protection hidden="1"/>
    </xf>
    <xf numFmtId="0" fontId="2" fillId="3" borderId="23" xfId="0" applyFont="1" applyFill="1" applyBorder="1" applyAlignment="1" applyProtection="1">
      <alignment horizontal="left" vertical="center"/>
      <protection hidden="1"/>
    </xf>
    <xf numFmtId="0" fontId="8" fillId="3" borderId="23" xfId="0" applyFont="1" applyFill="1" applyBorder="1" applyAlignment="1" applyProtection="1">
      <alignment horizontal="left" vertical="center"/>
      <protection hidden="1"/>
    </xf>
    <xf numFmtId="49" fontId="10" fillId="7" borderId="43" xfId="0" applyNumberFormat="1" applyFont="1" applyFill="1" applyBorder="1" applyAlignment="1" applyProtection="1">
      <alignment horizontal="left" vertical="center" wrapText="1"/>
      <protection locked="0" hidden="1"/>
    </xf>
    <xf numFmtId="49" fontId="4" fillId="4" borderId="18" xfId="0" applyNumberFormat="1" applyFont="1" applyFill="1" applyBorder="1" applyAlignment="1" applyProtection="1">
      <alignment vertical="center" wrapText="1"/>
      <protection locked="0"/>
    </xf>
    <xf numFmtId="0" fontId="10" fillId="9" borderId="47" xfId="0" applyFont="1" applyFill="1" applyBorder="1" applyAlignment="1" applyProtection="1">
      <alignment horizontal="left" vertical="center" wrapText="1"/>
      <protection locked="0" hidden="1"/>
    </xf>
    <xf numFmtId="0" fontId="10" fillId="9" borderId="43" xfId="0" applyFont="1" applyFill="1" applyBorder="1" applyAlignment="1" applyProtection="1">
      <alignment horizontal="left" vertical="center" wrapText="1"/>
      <protection locked="0" hidden="1"/>
    </xf>
    <xf numFmtId="0" fontId="10" fillId="9" borderId="43" xfId="0" applyFont="1" applyFill="1" applyBorder="1" applyAlignment="1" applyProtection="1">
      <alignment horizontal="left" vertical="center"/>
      <protection locked="0" hidden="1"/>
    </xf>
    <xf numFmtId="0" fontId="10" fillId="9" borderId="47" xfId="0" applyFont="1" applyFill="1" applyBorder="1" applyAlignment="1" applyProtection="1">
      <alignment horizontal="left" vertical="center"/>
      <protection locked="0" hidden="1"/>
    </xf>
    <xf numFmtId="0" fontId="10" fillId="9" borderId="19" xfId="0" applyFont="1" applyFill="1" applyBorder="1" applyAlignment="1" applyProtection="1">
      <alignment horizontal="left" vertical="center"/>
      <protection locked="0" hidden="1"/>
    </xf>
    <xf numFmtId="49" fontId="10" fillId="9" borderId="18" xfId="0" applyNumberFormat="1" applyFont="1" applyFill="1" applyBorder="1" applyAlignment="1" applyProtection="1">
      <alignment vertical="center" wrapText="1"/>
      <protection locked="0" hidden="1"/>
    </xf>
    <xf numFmtId="0" fontId="10" fillId="9" borderId="38" xfId="0" applyFont="1" applyFill="1" applyBorder="1" applyAlignment="1" applyProtection="1">
      <alignment horizontal="left" vertical="center"/>
      <protection locked="0" hidden="1"/>
    </xf>
    <xf numFmtId="0" fontId="10" fillId="9" borderId="38" xfId="0" applyFont="1" applyFill="1" applyBorder="1" applyAlignment="1" applyProtection="1">
      <alignment horizontal="left" vertical="center" wrapText="1"/>
      <protection locked="0" hidden="1"/>
    </xf>
    <xf numFmtId="0" fontId="10" fillId="9" borderId="55" xfId="0" applyFont="1" applyFill="1" applyBorder="1" applyAlignment="1" applyProtection="1">
      <alignment horizontal="left" vertical="center"/>
      <protection locked="0" hidden="1"/>
    </xf>
    <xf numFmtId="0" fontId="12" fillId="9" borderId="50" xfId="0" applyFont="1" applyFill="1" applyBorder="1" applyAlignment="1" applyProtection="1">
      <alignment horizontal="left" vertical="center"/>
      <protection hidden="1"/>
    </xf>
    <xf numFmtId="0" fontId="21" fillId="10" borderId="23" xfId="0" applyFont="1" applyFill="1" applyBorder="1" applyAlignment="1" applyProtection="1">
      <alignment horizontal="center" vertical="center"/>
      <protection locked="0" hidden="1"/>
    </xf>
    <xf numFmtId="0" fontId="22" fillId="0" borderId="43" xfId="0" applyFont="1" applyBorder="1" applyAlignment="1" applyProtection="1">
      <alignment horizontal="left" vertical="center"/>
      <protection hidden="1"/>
    </xf>
    <xf numFmtId="0" fontId="22" fillId="0" borderId="20" xfId="0" applyFont="1" applyBorder="1" applyAlignment="1" applyProtection="1">
      <alignment horizontal="left" vertical="center"/>
      <protection hidden="1"/>
    </xf>
    <xf numFmtId="0" fontId="22" fillId="0" borderId="44" xfId="0" applyFont="1" applyBorder="1" applyAlignment="1" applyProtection="1">
      <alignment horizontal="left" vertical="center"/>
      <protection hidden="1"/>
    </xf>
    <xf numFmtId="0" fontId="22" fillId="0" borderId="39" xfId="0" applyFont="1" applyBorder="1" applyAlignment="1" applyProtection="1">
      <alignment horizontal="left" vertical="center"/>
      <protection hidden="1"/>
    </xf>
    <xf numFmtId="0" fontId="22" fillId="0" borderId="19" xfId="0" applyFont="1" applyBorder="1" applyAlignment="1" applyProtection="1">
      <alignment horizontal="left" vertical="center" wrapText="1"/>
      <protection hidden="1"/>
    </xf>
    <xf numFmtId="0" fontId="20" fillId="3" borderId="0" xfId="0" applyFont="1" applyFill="1" applyAlignment="1" applyProtection="1">
      <alignment horizontal="left" vertical="center" indent="3"/>
      <protection hidden="1"/>
    </xf>
    <xf numFmtId="0" fontId="24" fillId="10" borderId="23" xfId="0" applyFont="1" applyFill="1" applyBorder="1" applyAlignment="1" applyProtection="1">
      <alignment horizontal="center" vertical="center"/>
      <protection locked="0" hidden="1"/>
    </xf>
    <xf numFmtId="0" fontId="20" fillId="9" borderId="13" xfId="0" applyFont="1" applyFill="1" applyBorder="1" applyAlignment="1" applyProtection="1">
      <alignment horizontal="left" vertical="center" indent="3"/>
      <protection locked="0" hidden="1"/>
    </xf>
    <xf numFmtId="0" fontId="13" fillId="0" borderId="16" xfId="0" applyFont="1" applyBorder="1" applyAlignment="1" applyProtection="1">
      <alignment horizontal="center" vertical="center"/>
      <protection hidden="1"/>
    </xf>
    <xf numFmtId="0" fontId="13" fillId="0" borderId="28" xfId="0" applyFont="1" applyBorder="1" applyAlignment="1" applyProtection="1">
      <alignment horizontal="center" vertical="center"/>
      <protection hidden="1"/>
    </xf>
    <xf numFmtId="0" fontId="13" fillId="0" borderId="17" xfId="0" applyFont="1" applyBorder="1" applyAlignment="1" applyProtection="1">
      <alignment horizontal="center" vertical="center"/>
      <protection hidden="1"/>
    </xf>
    <xf numFmtId="0" fontId="10" fillId="9" borderId="45" xfId="0" applyFont="1" applyFill="1" applyBorder="1" applyAlignment="1" applyProtection="1">
      <alignment horizontal="left" vertical="center"/>
      <protection locked="0" hidden="1"/>
    </xf>
    <xf numFmtId="0" fontId="10" fillId="9" borderId="20" xfId="0" applyFont="1" applyFill="1" applyBorder="1" applyAlignment="1" applyProtection="1">
      <alignment horizontal="left" vertical="center"/>
      <protection locked="0" hidden="1"/>
    </xf>
    <xf numFmtId="0" fontId="10" fillId="7" borderId="45" xfId="0" applyFont="1" applyFill="1" applyBorder="1" applyAlignment="1" applyProtection="1">
      <alignment horizontal="left" vertical="center"/>
      <protection locked="0" hidden="1"/>
    </xf>
    <xf numFmtId="0" fontId="10" fillId="7" borderId="20" xfId="0" applyFont="1" applyFill="1" applyBorder="1" applyAlignment="1" applyProtection="1">
      <alignment horizontal="left" vertical="center"/>
      <protection locked="0" hidden="1"/>
    </xf>
    <xf numFmtId="0" fontId="13" fillId="0" borderId="36" xfId="0" applyFont="1" applyBorder="1" applyAlignment="1" applyProtection="1">
      <alignment horizontal="center" vertical="center"/>
      <protection hidden="1"/>
    </xf>
    <xf numFmtId="0" fontId="13" fillId="0" borderId="22" xfId="0" applyFont="1" applyBorder="1" applyAlignment="1" applyProtection="1">
      <alignment horizontal="center" vertical="center"/>
      <protection hidden="1"/>
    </xf>
    <xf numFmtId="0" fontId="13" fillId="0" borderId="31" xfId="0" applyFont="1" applyBorder="1" applyAlignment="1" applyProtection="1">
      <alignment horizontal="center" vertical="center"/>
      <protection hidden="1"/>
    </xf>
    <xf numFmtId="0" fontId="12" fillId="0" borderId="18" xfId="0" applyFont="1" applyBorder="1" applyAlignment="1" applyProtection="1">
      <alignment horizontal="left" vertical="center"/>
      <protection hidden="1"/>
    </xf>
    <xf numFmtId="0" fontId="12" fillId="0" borderId="47" xfId="0" applyFont="1" applyBorder="1" applyAlignment="1" applyProtection="1">
      <alignment horizontal="left" vertical="center"/>
      <protection hidden="1"/>
    </xf>
    <xf numFmtId="0" fontId="20" fillId="3" borderId="16" xfId="0" applyFont="1" applyFill="1" applyBorder="1" applyAlignment="1" applyProtection="1">
      <alignment horizontal="left" vertical="center" indent="3"/>
      <protection hidden="1"/>
    </xf>
    <xf numFmtId="0" fontId="20" fillId="3" borderId="28" xfId="0" applyFont="1" applyFill="1" applyBorder="1" applyAlignment="1" applyProtection="1">
      <alignment horizontal="left" vertical="center" indent="3"/>
      <protection hidden="1"/>
    </xf>
    <xf numFmtId="0" fontId="20" fillId="3" borderId="17" xfId="0" applyFont="1" applyFill="1" applyBorder="1" applyAlignment="1" applyProtection="1">
      <alignment horizontal="left" vertical="center" indent="3"/>
      <protection hidden="1"/>
    </xf>
    <xf numFmtId="49" fontId="10" fillId="7" borderId="23" xfId="0" applyNumberFormat="1" applyFont="1" applyFill="1" applyBorder="1" applyAlignment="1" applyProtection="1">
      <alignment horizontal="left" vertical="center" wrapText="1"/>
      <protection locked="0" hidden="1"/>
    </xf>
    <xf numFmtId="49" fontId="10" fillId="7" borderId="43" xfId="0" applyNumberFormat="1" applyFont="1" applyFill="1" applyBorder="1" applyAlignment="1" applyProtection="1">
      <alignment horizontal="left" vertical="center" wrapText="1"/>
      <protection locked="0" hidden="1"/>
    </xf>
    <xf numFmtId="49" fontId="10" fillId="7" borderId="38" xfId="0" applyNumberFormat="1" applyFont="1" applyFill="1" applyBorder="1" applyAlignment="1" applyProtection="1">
      <alignment horizontal="left" vertical="center" wrapText="1"/>
      <protection locked="0" hidden="1"/>
    </xf>
    <xf numFmtId="49" fontId="10" fillId="7" borderId="39" xfId="0" applyNumberFormat="1" applyFont="1" applyFill="1" applyBorder="1" applyAlignment="1" applyProtection="1">
      <alignment horizontal="left" vertical="center" wrapText="1"/>
      <protection locked="0" hidden="1"/>
    </xf>
    <xf numFmtId="0" fontId="12" fillId="0" borderId="35" xfId="0" applyFont="1" applyBorder="1" applyAlignment="1" applyProtection="1">
      <alignment horizontal="left" vertical="center"/>
      <protection hidden="1"/>
    </xf>
    <xf numFmtId="0" fontId="12" fillId="0" borderId="15" xfId="0" applyFont="1" applyBorder="1" applyAlignment="1" applyProtection="1">
      <alignment horizontal="left" vertical="center"/>
      <protection hidden="1"/>
    </xf>
    <xf numFmtId="0" fontId="12" fillId="0" borderId="40" xfId="0" applyFont="1" applyBorder="1" applyAlignment="1" applyProtection="1">
      <alignment horizontal="left" vertical="center"/>
      <protection hidden="1"/>
    </xf>
    <xf numFmtId="0" fontId="10" fillId="9" borderId="18" xfId="0" applyFont="1" applyFill="1" applyBorder="1" applyAlignment="1" applyProtection="1">
      <alignment horizontal="left" vertical="center"/>
      <protection locked="0" hidden="1"/>
    </xf>
    <xf numFmtId="0" fontId="10" fillId="9" borderId="19" xfId="0" applyFont="1" applyFill="1" applyBorder="1" applyAlignment="1" applyProtection="1">
      <alignment horizontal="left" vertical="center"/>
      <protection locked="0" hidden="1"/>
    </xf>
    <xf numFmtId="0" fontId="12" fillId="3" borderId="45" xfId="0" applyFont="1" applyFill="1" applyBorder="1" applyAlignment="1" applyProtection="1">
      <alignment horizontal="left" vertical="center" wrapText="1"/>
      <protection locked="0" hidden="1"/>
    </xf>
    <xf numFmtId="0" fontId="12" fillId="3" borderId="20" xfId="0" applyFont="1" applyFill="1" applyBorder="1" applyAlignment="1" applyProtection="1">
      <alignment horizontal="left" vertical="center" wrapText="1"/>
      <protection locked="0" hidden="1"/>
    </xf>
    <xf numFmtId="0" fontId="12" fillId="0" borderId="18" xfId="0" applyFont="1" applyBorder="1" applyAlignment="1" applyProtection="1">
      <alignment horizontal="left" vertical="center" wrapText="1"/>
      <protection hidden="1"/>
    </xf>
    <xf numFmtId="0" fontId="12" fillId="0" borderId="20" xfId="0" applyFont="1" applyBorder="1" applyAlignment="1" applyProtection="1">
      <alignment horizontal="left" vertical="center"/>
      <protection hidden="1"/>
    </xf>
    <xf numFmtId="49" fontId="10" fillId="9" borderId="18" xfId="0" applyNumberFormat="1" applyFont="1" applyFill="1" applyBorder="1" applyAlignment="1" applyProtection="1">
      <alignment horizontal="left" vertical="center" wrapText="1"/>
      <protection locked="0" hidden="1"/>
    </xf>
    <xf numFmtId="0" fontId="12" fillId="9" borderId="19" xfId="0" applyFont="1" applyFill="1" applyBorder="1" applyAlignment="1" applyProtection="1">
      <alignment horizontal="left" vertical="center" wrapText="1"/>
      <protection locked="0" hidden="1"/>
    </xf>
    <xf numFmtId="0" fontId="12" fillId="9" borderId="20" xfId="0" applyFont="1" applyFill="1" applyBorder="1" applyAlignment="1" applyProtection="1">
      <alignment horizontal="left" vertical="center" wrapText="1"/>
      <protection locked="0" hidden="1"/>
    </xf>
    <xf numFmtId="0" fontId="12" fillId="0" borderId="42" xfId="0" applyFont="1" applyBorder="1" applyAlignment="1" applyProtection="1">
      <alignment horizontal="left" vertical="center"/>
      <protection hidden="1"/>
    </xf>
    <xf numFmtId="0" fontId="12" fillId="0" borderId="41" xfId="0" applyFont="1" applyBorder="1" applyAlignment="1" applyProtection="1">
      <alignment horizontal="left" vertical="center"/>
      <protection hidden="1"/>
    </xf>
    <xf numFmtId="0" fontId="12" fillId="0" borderId="6" xfId="0" applyFont="1" applyBorder="1" applyAlignment="1" applyProtection="1">
      <alignment horizontal="left" vertical="center"/>
      <protection hidden="1"/>
    </xf>
    <xf numFmtId="0" fontId="12" fillId="0" borderId="14" xfId="0" applyFont="1" applyBorder="1" applyAlignment="1" applyProtection="1">
      <alignment horizontal="left" vertical="center"/>
      <protection hidden="1"/>
    </xf>
    <xf numFmtId="0" fontId="10" fillId="7" borderId="42" xfId="0" applyFont="1" applyFill="1" applyBorder="1" applyAlignment="1" applyProtection="1">
      <alignment horizontal="left" vertical="center" wrapText="1"/>
      <protection locked="0" hidden="1"/>
    </xf>
    <xf numFmtId="0" fontId="12" fillId="7" borderId="0" xfId="0" applyFont="1" applyFill="1" applyAlignment="1" applyProtection="1">
      <alignment horizontal="left" vertical="center" wrapText="1"/>
      <protection locked="0" hidden="1"/>
    </xf>
    <xf numFmtId="0" fontId="12" fillId="7" borderId="41" xfId="0" applyFont="1" applyFill="1" applyBorder="1" applyAlignment="1" applyProtection="1">
      <alignment horizontal="left" vertical="center" wrapText="1"/>
      <protection locked="0" hidden="1"/>
    </xf>
    <xf numFmtId="0" fontId="12" fillId="7" borderId="6" xfId="0" applyFont="1" applyFill="1" applyBorder="1" applyAlignment="1" applyProtection="1">
      <alignment horizontal="left" vertical="center" wrapText="1"/>
      <protection locked="0" hidden="1"/>
    </xf>
    <xf numFmtId="0" fontId="12" fillId="7" borderId="13" xfId="0" applyFont="1" applyFill="1" applyBorder="1" applyAlignment="1" applyProtection="1">
      <alignment horizontal="left" vertical="center" wrapText="1"/>
      <protection locked="0" hidden="1"/>
    </xf>
    <xf numFmtId="0" fontId="12" fillId="7" borderId="14" xfId="0" applyFont="1" applyFill="1" applyBorder="1" applyAlignment="1" applyProtection="1">
      <alignment horizontal="left" vertical="center" wrapText="1"/>
      <protection locked="0" hidden="1"/>
    </xf>
    <xf numFmtId="0" fontId="12" fillId="0" borderId="21" xfId="0" applyFont="1" applyBorder="1" applyAlignment="1" applyProtection="1">
      <alignment horizontal="left" vertical="center"/>
      <protection hidden="1"/>
    </xf>
    <xf numFmtId="0" fontId="12" fillId="0" borderId="26" xfId="0" applyFont="1" applyBorder="1" applyAlignment="1" applyProtection="1">
      <alignment horizontal="left" vertical="center"/>
      <protection hidden="1"/>
    </xf>
    <xf numFmtId="0" fontId="10" fillId="9" borderId="21" xfId="0" applyFont="1" applyFill="1" applyBorder="1" applyAlignment="1" applyProtection="1">
      <alignment horizontal="left" vertical="center" wrapText="1"/>
      <protection locked="0" hidden="1"/>
    </xf>
    <xf numFmtId="0" fontId="10" fillId="9" borderId="34" xfId="0" applyFont="1" applyFill="1" applyBorder="1" applyAlignment="1" applyProtection="1">
      <alignment horizontal="left" vertical="center" wrapText="1"/>
      <protection locked="0" hidden="1"/>
    </xf>
    <xf numFmtId="0" fontId="10" fillId="9" borderId="26" xfId="0" applyFont="1" applyFill="1" applyBorder="1" applyAlignment="1" applyProtection="1">
      <alignment horizontal="left" vertical="center" wrapText="1"/>
      <protection locked="0" hidden="1"/>
    </xf>
    <xf numFmtId="0" fontId="10" fillId="9" borderId="47" xfId="0" applyFont="1" applyFill="1" applyBorder="1" applyAlignment="1" applyProtection="1">
      <alignment horizontal="left" vertical="center" wrapText="1"/>
      <protection locked="0" hidden="1"/>
    </xf>
    <xf numFmtId="0" fontId="12" fillId="0" borderId="35" xfId="0" applyFont="1" applyBorder="1" applyAlignment="1" applyProtection="1">
      <alignment horizontal="left" vertical="center" wrapText="1"/>
      <protection hidden="1"/>
    </xf>
    <xf numFmtId="0" fontId="10" fillId="7" borderId="18" xfId="0" applyFont="1" applyFill="1" applyBorder="1" applyAlignment="1" applyProtection="1">
      <alignment horizontal="left" vertical="center" wrapText="1"/>
      <protection locked="0" hidden="1"/>
    </xf>
    <xf numFmtId="0" fontId="12" fillId="7" borderId="19" xfId="0" applyFont="1" applyFill="1" applyBorder="1" applyAlignment="1" applyProtection="1">
      <alignment horizontal="left" vertical="center" wrapText="1"/>
      <protection locked="0" hidden="1"/>
    </xf>
    <xf numFmtId="0" fontId="12" fillId="7" borderId="20" xfId="0" applyFont="1" applyFill="1" applyBorder="1" applyAlignment="1" applyProtection="1">
      <alignment horizontal="left" vertical="center" wrapText="1"/>
      <protection locked="0" hidden="1"/>
    </xf>
    <xf numFmtId="0" fontId="10" fillId="7" borderId="19" xfId="0" applyFont="1" applyFill="1" applyBorder="1" applyAlignment="1" applyProtection="1">
      <alignment horizontal="left" vertical="center" wrapText="1"/>
      <protection locked="0" hidden="1"/>
    </xf>
    <xf numFmtId="0" fontId="10" fillId="7" borderId="20" xfId="0" applyFont="1" applyFill="1" applyBorder="1" applyAlignment="1" applyProtection="1">
      <alignment horizontal="left" vertical="center" wrapText="1"/>
      <protection locked="0" hidden="1"/>
    </xf>
    <xf numFmtId="0" fontId="12" fillId="0" borderId="43" xfId="0" applyFont="1" applyBorder="1" applyAlignment="1" applyProtection="1">
      <alignment horizontal="left" vertical="center"/>
      <protection hidden="1"/>
    </xf>
    <xf numFmtId="0" fontId="10" fillId="7" borderId="23" xfId="0" applyFont="1" applyFill="1" applyBorder="1" applyAlignment="1" applyProtection="1">
      <alignment horizontal="left" vertical="center"/>
      <protection locked="0" hidden="1"/>
    </xf>
    <xf numFmtId="0" fontId="10" fillId="7" borderId="43" xfId="0" applyFont="1" applyFill="1" applyBorder="1" applyAlignment="1" applyProtection="1">
      <alignment horizontal="left" vertical="center"/>
      <protection locked="0" hidden="1"/>
    </xf>
    <xf numFmtId="0" fontId="10" fillId="7" borderId="23" xfId="0" applyFont="1" applyFill="1" applyBorder="1" applyAlignment="1" applyProtection="1">
      <alignment horizontal="left" vertical="center" wrapText="1"/>
      <protection locked="0" hidden="1"/>
    </xf>
    <xf numFmtId="0" fontId="10" fillId="7" borderId="43" xfId="0" applyFont="1" applyFill="1" applyBorder="1" applyAlignment="1" applyProtection="1">
      <alignment horizontal="left" vertical="center" wrapText="1"/>
      <protection locked="0" hidden="1"/>
    </xf>
    <xf numFmtId="0" fontId="20" fillId="0" borderId="16" xfId="0" applyFont="1" applyBorder="1" applyAlignment="1" applyProtection="1">
      <alignment horizontal="left" vertical="center" indent="3"/>
      <protection hidden="1"/>
    </xf>
    <xf numFmtId="0" fontId="20" fillId="0" borderId="28" xfId="0" applyFont="1" applyBorder="1" applyAlignment="1" applyProtection="1">
      <alignment horizontal="left" vertical="center" indent="3"/>
      <protection hidden="1"/>
    </xf>
    <xf numFmtId="0" fontId="23" fillId="0" borderId="28" xfId="0" applyFont="1" applyBorder="1" applyAlignment="1" applyProtection="1">
      <alignment horizontal="left" vertical="center" indent="3"/>
      <protection hidden="1"/>
    </xf>
    <xf numFmtId="0" fontId="23" fillId="0" borderId="17" xfId="0" applyFont="1" applyBorder="1" applyAlignment="1" applyProtection="1">
      <alignment horizontal="left" vertical="center" indent="3"/>
      <protection hidden="1"/>
    </xf>
    <xf numFmtId="0" fontId="10" fillId="7" borderId="23" xfId="0" applyFont="1" applyFill="1" applyBorder="1" applyAlignment="1" applyProtection="1">
      <alignment horizontal="left"/>
      <protection locked="0" hidden="1"/>
    </xf>
    <xf numFmtId="0" fontId="10" fillId="7" borderId="43" xfId="0" applyFont="1" applyFill="1" applyBorder="1" applyAlignment="1" applyProtection="1">
      <alignment horizontal="left"/>
      <protection locked="0" hidden="1"/>
    </xf>
    <xf numFmtId="0" fontId="10" fillId="7" borderId="55" xfId="0" applyFont="1" applyFill="1" applyBorder="1" applyAlignment="1" applyProtection="1">
      <alignment horizontal="left"/>
      <protection locked="0" hidden="1"/>
    </xf>
    <xf numFmtId="0" fontId="10" fillId="7" borderId="26" xfId="0" applyFont="1" applyFill="1" applyBorder="1" applyAlignment="1" applyProtection="1">
      <alignment horizontal="left"/>
      <protection locked="0" hidden="1"/>
    </xf>
    <xf numFmtId="0" fontId="10" fillId="9" borderId="34" xfId="0" applyFont="1" applyFill="1" applyBorder="1" applyAlignment="1" applyProtection="1">
      <alignment horizontal="left" vertical="center"/>
      <protection locked="0" hidden="1"/>
    </xf>
    <xf numFmtId="0" fontId="10" fillId="9" borderId="26" xfId="0" applyFont="1" applyFill="1" applyBorder="1" applyAlignment="1" applyProtection="1">
      <alignment horizontal="left" vertical="center"/>
      <protection locked="0" hidden="1"/>
    </xf>
    <xf numFmtId="0" fontId="12" fillId="0" borderId="21" xfId="0" applyFont="1" applyBorder="1" applyAlignment="1" applyProtection="1">
      <alignment horizontal="left" vertical="center" wrapText="1"/>
      <protection hidden="1"/>
    </xf>
    <xf numFmtId="0" fontId="12" fillId="0" borderId="48" xfId="0" applyFont="1" applyBorder="1" applyAlignment="1" applyProtection="1">
      <alignment horizontal="left" vertical="center" wrapText="1"/>
      <protection hidden="1"/>
    </xf>
    <xf numFmtId="0" fontId="10" fillId="3" borderId="0" xfId="0" applyFont="1" applyFill="1" applyAlignment="1" applyProtection="1">
      <alignment horizontal="left" vertical="center"/>
      <protection hidden="1"/>
    </xf>
    <xf numFmtId="0" fontId="10" fillId="7" borderId="38" xfId="0" applyFont="1" applyFill="1" applyBorder="1" applyAlignment="1" applyProtection="1">
      <alignment horizontal="left" vertical="center"/>
      <protection locked="0" hidden="1"/>
    </xf>
    <xf numFmtId="0" fontId="10" fillId="7" borderId="39" xfId="0" applyFont="1" applyFill="1" applyBorder="1" applyAlignment="1" applyProtection="1">
      <alignment horizontal="left" vertical="center"/>
      <protection locked="0" hidden="1"/>
    </xf>
    <xf numFmtId="0" fontId="10" fillId="9" borderId="23" xfId="0" applyFont="1" applyFill="1" applyBorder="1" applyAlignment="1" applyProtection="1">
      <alignment horizontal="left" vertical="center"/>
      <protection locked="0" hidden="1"/>
    </xf>
    <xf numFmtId="0" fontId="10" fillId="9" borderId="43" xfId="0" applyFont="1" applyFill="1" applyBorder="1" applyAlignment="1" applyProtection="1">
      <alignment horizontal="left" vertical="center"/>
      <protection locked="0" hidden="1"/>
    </xf>
    <xf numFmtId="0" fontId="12" fillId="0" borderId="47" xfId="0" applyFont="1" applyBorder="1" applyAlignment="1" applyProtection="1">
      <alignment horizontal="left" vertical="center" wrapText="1"/>
      <protection hidden="1"/>
    </xf>
    <xf numFmtId="0" fontId="12" fillId="0" borderId="15" xfId="0" applyFont="1" applyBorder="1" applyAlignment="1" applyProtection="1">
      <alignment horizontal="left" vertical="center" wrapText="1"/>
      <protection hidden="1"/>
    </xf>
    <xf numFmtId="0" fontId="12" fillId="0" borderId="49" xfId="0" applyFont="1" applyBorder="1" applyAlignment="1" applyProtection="1">
      <alignment horizontal="left" vertical="center" wrapText="1"/>
      <protection hidden="1"/>
    </xf>
    <xf numFmtId="0" fontId="10" fillId="7" borderId="55" xfId="0" applyFont="1" applyFill="1" applyBorder="1" applyAlignment="1" applyProtection="1">
      <alignment horizontal="left" vertical="center"/>
      <protection locked="0" hidden="1"/>
    </xf>
    <xf numFmtId="0" fontId="10" fillId="7" borderId="26" xfId="0" applyFont="1" applyFill="1" applyBorder="1" applyAlignment="1" applyProtection="1">
      <alignment horizontal="left" vertical="center"/>
      <protection locked="0" hidden="1"/>
    </xf>
    <xf numFmtId="0" fontId="13" fillId="0" borderId="36" xfId="0" applyFont="1" applyBorder="1" applyAlignment="1" applyProtection="1">
      <alignment horizontal="center" vertical="center" wrapText="1"/>
      <protection hidden="1"/>
    </xf>
    <xf numFmtId="0" fontId="13" fillId="0" borderId="22" xfId="0" applyFont="1" applyBorder="1" applyAlignment="1" applyProtection="1">
      <alignment horizontal="center" vertical="center" wrapText="1"/>
      <protection hidden="1"/>
    </xf>
    <xf numFmtId="0" fontId="13" fillId="0" borderId="31" xfId="0" applyFont="1" applyBorder="1" applyAlignment="1" applyProtection="1">
      <alignment horizontal="center" vertical="center" wrapText="1"/>
      <protection hidden="1"/>
    </xf>
    <xf numFmtId="0" fontId="10" fillId="9" borderId="23" xfId="0" applyFont="1" applyFill="1" applyBorder="1" applyAlignment="1" applyProtection="1">
      <alignment horizontal="center" vertical="center" wrapText="1"/>
      <protection locked="0" hidden="1"/>
    </xf>
    <xf numFmtId="0" fontId="10" fillId="9" borderId="43" xfId="0" applyFont="1" applyFill="1" applyBorder="1" applyAlignment="1" applyProtection="1">
      <alignment horizontal="center" vertical="center" wrapText="1"/>
      <protection locked="0" hidden="1"/>
    </xf>
    <xf numFmtId="0" fontId="4" fillId="7" borderId="23" xfId="0" applyFont="1" applyFill="1" applyBorder="1" applyAlignment="1" applyProtection="1">
      <alignment horizontal="left" vertical="center"/>
      <protection locked="0" hidden="1"/>
    </xf>
    <xf numFmtId="0" fontId="4" fillId="7" borderId="43" xfId="0" applyFont="1" applyFill="1" applyBorder="1" applyAlignment="1" applyProtection="1">
      <alignment horizontal="left" vertical="center"/>
      <protection locked="0" hidden="1"/>
    </xf>
    <xf numFmtId="0" fontId="25" fillId="3" borderId="0" xfId="0" applyFont="1" applyFill="1" applyAlignment="1" applyProtection="1">
      <alignment horizontal="center"/>
      <protection hidden="1"/>
    </xf>
    <xf numFmtId="0" fontId="16" fillId="3" borderId="0" xfId="0" applyFont="1" applyFill="1" applyAlignment="1" applyProtection="1">
      <alignment horizontal="center" vertical="center" wrapText="1"/>
      <protection hidden="1"/>
    </xf>
    <xf numFmtId="0" fontId="4" fillId="7" borderId="22" xfId="0" applyFont="1" applyFill="1" applyBorder="1" applyAlignment="1" applyProtection="1">
      <alignment horizontal="left"/>
      <protection locked="0" hidden="1"/>
    </xf>
    <xf numFmtId="0" fontId="4" fillId="7" borderId="31" xfId="0" applyFont="1" applyFill="1" applyBorder="1" applyAlignment="1" applyProtection="1">
      <alignment horizontal="left"/>
      <protection locked="0" hidden="1"/>
    </xf>
    <xf numFmtId="0" fontId="4" fillId="7" borderId="23" xfId="0" applyFont="1" applyFill="1" applyBorder="1" applyAlignment="1" applyProtection="1">
      <alignment horizontal="left"/>
      <protection locked="0" hidden="1"/>
    </xf>
    <xf numFmtId="0" fontId="4" fillId="7" borderId="43" xfId="0" applyFont="1" applyFill="1" applyBorder="1" applyAlignment="1" applyProtection="1">
      <alignment horizontal="left"/>
      <protection locked="0" hidden="1"/>
    </xf>
    <xf numFmtId="0" fontId="4" fillId="7" borderId="60" xfId="0" applyFont="1" applyFill="1" applyBorder="1" applyAlignment="1" applyProtection="1">
      <alignment horizontal="left" vertical="center"/>
      <protection locked="0" hidden="1"/>
    </xf>
    <xf numFmtId="0" fontId="4" fillId="7" borderId="61" xfId="0" applyFont="1" applyFill="1" applyBorder="1" applyAlignment="1" applyProtection="1">
      <alignment horizontal="left" vertical="center"/>
      <protection locked="0" hidden="1"/>
    </xf>
    <xf numFmtId="0" fontId="10" fillId="7" borderId="45" xfId="0" applyFont="1" applyFill="1" applyBorder="1" applyAlignment="1" applyProtection="1">
      <alignment horizontal="left"/>
      <protection locked="0" hidden="1"/>
    </xf>
    <xf numFmtId="0" fontId="10" fillId="7" borderId="19" xfId="0" applyFont="1" applyFill="1" applyBorder="1" applyAlignment="1" applyProtection="1">
      <alignment horizontal="left"/>
      <protection locked="0" hidden="1"/>
    </xf>
    <xf numFmtId="0" fontId="10" fillId="7" borderId="20" xfId="0" applyFont="1" applyFill="1" applyBorder="1" applyAlignment="1" applyProtection="1">
      <alignment horizontal="left"/>
      <protection locked="0" hidden="1"/>
    </xf>
    <xf numFmtId="0" fontId="10" fillId="7" borderId="56" xfId="0" applyFont="1" applyFill="1" applyBorder="1" applyAlignment="1" applyProtection="1">
      <alignment horizontal="left"/>
      <protection locked="0" hidden="1"/>
    </xf>
    <xf numFmtId="0" fontId="10" fillId="7" borderId="28" xfId="0" applyFont="1" applyFill="1" applyBorder="1" applyAlignment="1" applyProtection="1">
      <alignment horizontal="left"/>
      <protection locked="0" hidden="1"/>
    </xf>
    <xf numFmtId="0" fontId="10" fillId="7" borderId="17" xfId="0" applyFont="1" applyFill="1" applyBorder="1" applyAlignment="1" applyProtection="1">
      <alignment horizontal="left"/>
      <protection locked="0" hidden="1"/>
    </xf>
    <xf numFmtId="0" fontId="10" fillId="7" borderId="56" xfId="0" applyFont="1" applyFill="1" applyBorder="1" applyAlignment="1" applyProtection="1">
      <alignment horizontal="left" vertical="center"/>
      <protection locked="0" hidden="1"/>
    </xf>
    <xf numFmtId="0" fontId="10" fillId="7" borderId="28" xfId="0" applyFont="1" applyFill="1" applyBorder="1" applyAlignment="1" applyProtection="1">
      <alignment horizontal="left" vertical="center"/>
      <protection locked="0" hidden="1"/>
    </xf>
    <xf numFmtId="0" fontId="10" fillId="7" borderId="17" xfId="0" applyFont="1" applyFill="1" applyBorder="1" applyAlignment="1" applyProtection="1">
      <alignment horizontal="left" vertical="center"/>
      <protection locked="0" hidden="1"/>
    </xf>
    <xf numFmtId="0" fontId="10" fillId="7" borderId="19" xfId="0" applyFont="1" applyFill="1" applyBorder="1" applyAlignment="1" applyProtection="1">
      <alignment horizontal="left" vertical="center"/>
      <protection locked="0" hidden="1"/>
    </xf>
    <xf numFmtId="0" fontId="10" fillId="7" borderId="38" xfId="0" applyFont="1" applyFill="1" applyBorder="1" applyAlignment="1" applyProtection="1">
      <alignment horizontal="left"/>
      <protection locked="0" hidden="1"/>
    </xf>
    <xf numFmtId="0" fontId="10" fillId="7" borderId="39" xfId="0" applyFont="1" applyFill="1" applyBorder="1" applyAlignment="1" applyProtection="1">
      <alignment horizontal="left"/>
      <protection locked="0" hidden="1"/>
    </xf>
    <xf numFmtId="0" fontId="16" fillId="3" borderId="0" xfId="0" applyFont="1" applyFill="1" applyAlignment="1" applyProtection="1">
      <alignment horizontal="center" vertical="center"/>
      <protection hidden="1"/>
    </xf>
    <xf numFmtId="0" fontId="10" fillId="7" borderId="34" xfId="0" applyFont="1" applyFill="1" applyBorder="1" applyAlignment="1" applyProtection="1">
      <alignment horizontal="left" vertical="center"/>
      <protection locked="0" hidden="1"/>
    </xf>
    <xf numFmtId="0" fontId="4" fillId="7" borderId="45" xfId="0" applyFont="1" applyFill="1" applyBorder="1" applyAlignment="1" applyProtection="1">
      <alignment horizontal="left" vertical="center"/>
      <protection locked="0" hidden="1"/>
    </xf>
    <xf numFmtId="0" fontId="4" fillId="7" borderId="19" xfId="0" applyFont="1" applyFill="1" applyBorder="1" applyAlignment="1" applyProtection="1">
      <alignment horizontal="left" vertical="center"/>
      <protection locked="0" hidden="1"/>
    </xf>
    <xf numFmtId="0" fontId="4" fillId="7" borderId="20" xfId="0" applyFont="1" applyFill="1" applyBorder="1" applyAlignment="1" applyProtection="1">
      <alignment horizontal="left" vertical="center"/>
      <protection locked="0" hidden="1"/>
    </xf>
    <xf numFmtId="0" fontId="16" fillId="3" borderId="0" xfId="0" applyFont="1" applyFill="1" applyAlignment="1" applyProtection="1">
      <alignment horizontal="center"/>
      <protection hidden="1"/>
    </xf>
    <xf numFmtId="0" fontId="4" fillId="7" borderId="56" xfId="0" applyFont="1" applyFill="1" applyBorder="1" applyAlignment="1" applyProtection="1">
      <alignment horizontal="left"/>
      <protection locked="0" hidden="1"/>
    </xf>
    <xf numFmtId="0" fontId="4" fillId="7" borderId="28" xfId="0" applyFont="1" applyFill="1" applyBorder="1" applyAlignment="1" applyProtection="1">
      <alignment horizontal="left"/>
      <protection locked="0" hidden="1"/>
    </xf>
    <xf numFmtId="0" fontId="4" fillId="7" borderId="17" xfId="0" applyFont="1" applyFill="1" applyBorder="1" applyAlignment="1" applyProtection="1">
      <alignment horizontal="left"/>
      <protection locked="0" hidden="1"/>
    </xf>
    <xf numFmtId="0" fontId="4" fillId="7" borderId="45" xfId="0" applyFont="1" applyFill="1" applyBorder="1" applyAlignment="1" applyProtection="1">
      <alignment horizontal="left"/>
      <protection locked="0" hidden="1"/>
    </xf>
    <xf numFmtId="0" fontId="4" fillId="7" borderId="19" xfId="0" applyFont="1" applyFill="1" applyBorder="1" applyAlignment="1" applyProtection="1">
      <alignment horizontal="left"/>
      <protection locked="0" hidden="1"/>
    </xf>
    <xf numFmtId="0" fontId="4" fillId="7" borderId="20" xfId="0" applyFont="1" applyFill="1" applyBorder="1" applyAlignment="1" applyProtection="1">
      <alignment horizontal="left"/>
      <protection locked="0" hidden="1"/>
    </xf>
    <xf numFmtId="0" fontId="19" fillId="6" borderId="45" xfId="0" applyFont="1" applyFill="1" applyBorder="1" applyAlignment="1" applyProtection="1">
      <alignment horizontal="left" vertical="center" wrapText="1"/>
      <protection locked="0" hidden="1"/>
    </xf>
    <xf numFmtId="0" fontId="19" fillId="6" borderId="19" xfId="0" applyFont="1" applyFill="1" applyBorder="1" applyAlignment="1" applyProtection="1">
      <alignment horizontal="left" vertical="center" wrapText="1"/>
      <protection locked="0" hidden="1"/>
    </xf>
    <xf numFmtId="0" fontId="19" fillId="6" borderId="20" xfId="0" applyFont="1" applyFill="1" applyBorder="1" applyAlignment="1" applyProtection="1">
      <alignment horizontal="left" vertical="center" wrapText="1"/>
      <protection locked="0" hidden="1"/>
    </xf>
    <xf numFmtId="0" fontId="4" fillId="7" borderId="55" xfId="0" applyFont="1" applyFill="1" applyBorder="1" applyAlignment="1" applyProtection="1">
      <alignment horizontal="left" vertical="center"/>
      <protection locked="0" hidden="1"/>
    </xf>
    <xf numFmtId="0" fontId="4" fillId="7" borderId="34" xfId="0" applyFont="1" applyFill="1" applyBorder="1" applyAlignment="1" applyProtection="1">
      <alignment horizontal="left" vertical="center"/>
      <protection locked="0" hidden="1"/>
    </xf>
    <xf numFmtId="0" fontId="4" fillId="7" borderId="26" xfId="0" applyFont="1" applyFill="1" applyBorder="1" applyAlignment="1" applyProtection="1">
      <alignment horizontal="left" vertical="center"/>
      <protection locked="0" hidden="1"/>
    </xf>
    <xf numFmtId="0" fontId="10" fillId="6" borderId="23" xfId="0" applyFont="1" applyFill="1" applyBorder="1" applyAlignment="1" applyProtection="1">
      <alignment horizontal="left" vertical="center"/>
      <protection locked="0" hidden="1"/>
    </xf>
    <xf numFmtId="0" fontId="10" fillId="6" borderId="43" xfId="0" applyFont="1" applyFill="1" applyBorder="1" applyAlignment="1" applyProtection="1">
      <alignment horizontal="left" vertical="center"/>
      <protection locked="0" hidden="1"/>
    </xf>
    <xf numFmtId="0" fontId="4" fillId="2" borderId="18" xfId="0" applyFont="1" applyFill="1" applyBorder="1" applyAlignment="1" applyProtection="1">
      <alignment horizontal="left" vertical="center" wrapText="1"/>
      <protection locked="0"/>
    </xf>
    <xf numFmtId="0" fontId="4" fillId="2" borderId="19" xfId="0" applyFont="1" applyFill="1" applyBorder="1" applyAlignment="1" applyProtection="1">
      <alignment horizontal="left" vertical="center" wrapText="1"/>
      <protection locked="0"/>
    </xf>
    <xf numFmtId="0" fontId="4" fillId="2" borderId="20" xfId="0" applyFont="1" applyFill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vertical="center" wrapText="1"/>
      <protection hidden="1"/>
    </xf>
    <xf numFmtId="0" fontId="0" fillId="0" borderId="10" xfId="0" applyBorder="1" applyProtection="1">
      <protection hidden="1"/>
    </xf>
    <xf numFmtId="0" fontId="0" fillId="0" borderId="6" xfId="0" applyBorder="1" applyProtection="1">
      <protection hidden="1"/>
    </xf>
    <xf numFmtId="0" fontId="0" fillId="0" borderId="14" xfId="0" applyBorder="1" applyProtection="1">
      <protection hidden="1"/>
    </xf>
    <xf numFmtId="0" fontId="4" fillId="2" borderId="5" xfId="0" applyFont="1" applyFill="1" applyBorder="1" applyAlignment="1" applyProtection="1">
      <alignment horizontal="left" vertical="center" wrapText="1"/>
      <protection locked="0"/>
    </xf>
    <xf numFmtId="0" fontId="4" fillId="2" borderId="25" xfId="0" applyFont="1" applyFill="1" applyBorder="1" applyAlignment="1" applyProtection="1">
      <alignment horizontal="left" vertical="center" wrapText="1"/>
      <protection locked="0"/>
    </xf>
    <xf numFmtId="0" fontId="4" fillId="2" borderId="10" xfId="0" applyFont="1" applyFill="1" applyBorder="1" applyAlignment="1" applyProtection="1">
      <alignment horizontal="left" vertical="center" wrapText="1"/>
      <protection locked="0"/>
    </xf>
    <xf numFmtId="0" fontId="4" fillId="2" borderId="6" xfId="0" applyFont="1" applyFill="1" applyBorder="1" applyAlignment="1" applyProtection="1">
      <alignment horizontal="left" vertical="center" wrapText="1"/>
      <protection locked="0"/>
    </xf>
    <xf numFmtId="0" fontId="4" fillId="2" borderId="13" xfId="0" applyFont="1" applyFill="1" applyBorder="1" applyAlignment="1" applyProtection="1">
      <alignment horizontal="left" vertical="center" wrapText="1"/>
      <protection locked="0"/>
    </xf>
    <xf numFmtId="0" fontId="4" fillId="2" borderId="14" xfId="0" applyFont="1" applyFill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vertical="center" wrapText="1"/>
      <protection hidden="1"/>
    </xf>
    <xf numFmtId="0" fontId="0" fillId="0" borderId="35" xfId="0" applyBorder="1" applyProtection="1">
      <protection hidden="1"/>
    </xf>
    <xf numFmtId="0" fontId="8" fillId="0" borderId="21" xfId="0" applyFont="1" applyBorder="1" applyAlignment="1" applyProtection="1">
      <alignment horizontal="left"/>
      <protection hidden="1"/>
    </xf>
    <xf numFmtId="0" fontId="8" fillId="0" borderId="26" xfId="0" applyFont="1" applyBorder="1" applyAlignment="1" applyProtection="1">
      <alignment horizontal="left"/>
      <protection hidden="1"/>
    </xf>
    <xf numFmtId="0" fontId="4" fillId="6" borderId="21" xfId="0" applyFont="1" applyFill="1" applyBorder="1" applyAlignment="1" applyProtection="1">
      <alignment horizontal="left" vertical="center" wrapText="1"/>
      <protection locked="0"/>
    </xf>
    <xf numFmtId="0" fontId="4" fillId="6" borderId="34" xfId="0" applyFont="1" applyFill="1" applyBorder="1" applyAlignment="1" applyProtection="1">
      <alignment horizontal="left" vertical="center" wrapText="1"/>
      <protection locked="0"/>
    </xf>
    <xf numFmtId="0" fontId="4" fillId="6" borderId="26" xfId="0" applyFont="1" applyFill="1" applyBorder="1" applyAlignment="1" applyProtection="1">
      <alignment horizontal="left" vertical="center" wrapText="1"/>
      <protection locked="0"/>
    </xf>
    <xf numFmtId="0" fontId="4" fillId="0" borderId="1" xfId="0" applyFont="1" applyBorder="1" applyAlignment="1" applyProtection="1">
      <alignment vertical="center"/>
      <protection hidden="1"/>
    </xf>
    <xf numFmtId="0" fontId="4" fillId="0" borderId="2" xfId="0" applyFont="1" applyBorder="1" applyAlignment="1" applyProtection="1">
      <alignment vertical="center"/>
      <protection hidden="1"/>
    </xf>
    <xf numFmtId="0" fontId="4" fillId="0" borderId="3" xfId="0" applyFont="1" applyBorder="1" applyAlignment="1" applyProtection="1">
      <alignment vertical="center"/>
      <protection hidden="1"/>
    </xf>
    <xf numFmtId="0" fontId="4" fillId="6" borderId="18" xfId="0" applyFont="1" applyFill="1" applyBorder="1" applyAlignment="1" applyProtection="1">
      <alignment horizontal="left" vertical="center"/>
      <protection locked="0"/>
    </xf>
    <xf numFmtId="0" fontId="0" fillId="6" borderId="19" xfId="0" applyFill="1" applyBorder="1" applyAlignment="1">
      <alignment horizontal="left"/>
    </xf>
    <xf numFmtId="0" fontId="0" fillId="6" borderId="20" xfId="0" applyFill="1" applyBorder="1" applyAlignment="1">
      <alignment horizontal="left"/>
    </xf>
    <xf numFmtId="0" fontId="2" fillId="0" borderId="16" xfId="0" applyFont="1" applyBorder="1" applyAlignment="1" applyProtection="1">
      <alignment vertical="center" wrapText="1"/>
      <protection hidden="1"/>
    </xf>
    <xf numFmtId="0" fontId="0" fillId="0" borderId="17" xfId="0" applyBorder="1" applyProtection="1">
      <protection hidden="1"/>
    </xf>
    <xf numFmtId="0" fontId="2" fillId="8" borderId="18" xfId="0" applyFont="1" applyFill="1" applyBorder="1" applyAlignment="1" applyProtection="1">
      <alignment vertical="center" wrapText="1"/>
      <protection hidden="1"/>
    </xf>
    <xf numFmtId="0" fontId="0" fillId="8" borderId="20" xfId="0" applyFill="1" applyBorder="1"/>
    <xf numFmtId="49" fontId="4" fillId="4" borderId="16" xfId="0" applyNumberFormat="1" applyFont="1" applyFill="1" applyBorder="1" applyAlignment="1" applyProtection="1">
      <alignment horizontal="left" vertical="center" wrapText="1"/>
      <protection locked="0"/>
    </xf>
    <xf numFmtId="0" fontId="0" fillId="0" borderId="28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4" fillId="6" borderId="19" xfId="0" applyFont="1" applyFill="1" applyBorder="1" applyAlignment="1" applyProtection="1">
      <alignment horizontal="left" vertical="center"/>
      <protection locked="0"/>
    </xf>
    <xf numFmtId="0" fontId="4" fillId="6" borderId="20" xfId="0" applyFont="1" applyFill="1" applyBorder="1" applyAlignment="1" applyProtection="1">
      <alignment horizontal="left" vertical="center"/>
      <protection locked="0"/>
    </xf>
    <xf numFmtId="0" fontId="14" fillId="8" borderId="23" xfId="0" applyFont="1" applyFill="1" applyBorder="1" applyAlignment="1">
      <alignment horizontal="left"/>
    </xf>
    <xf numFmtId="0" fontId="0" fillId="8" borderId="43" xfId="0" applyFill="1" applyBorder="1" applyAlignment="1">
      <alignment horizontal="left"/>
    </xf>
    <xf numFmtId="0" fontId="2" fillId="0" borderId="18" xfId="0" applyFont="1" applyBorder="1" applyAlignment="1" applyProtection="1">
      <alignment vertical="center"/>
      <protection hidden="1"/>
    </xf>
    <xf numFmtId="0" fontId="0" fillId="0" borderId="20" xfId="0" applyBorder="1" applyAlignment="1">
      <alignment vertical="center"/>
    </xf>
    <xf numFmtId="0" fontId="2" fillId="0" borderId="15" xfId="0" applyFont="1" applyBorder="1" applyAlignment="1" applyProtection="1">
      <alignment vertical="center"/>
      <protection hidden="1"/>
    </xf>
    <xf numFmtId="0" fontId="0" fillId="0" borderId="27" xfId="0" applyBorder="1" applyAlignment="1">
      <alignment vertical="center"/>
    </xf>
    <xf numFmtId="0" fontId="0" fillId="0" borderId="33" xfId="0" applyBorder="1" applyAlignment="1">
      <alignment vertical="center"/>
    </xf>
    <xf numFmtId="0" fontId="4" fillId="6" borderId="21" xfId="0" applyFont="1" applyFill="1" applyBorder="1" applyAlignment="1" applyProtection="1">
      <alignment horizontal="left" vertical="center"/>
      <protection locked="0"/>
    </xf>
    <xf numFmtId="0" fontId="4" fillId="6" borderId="34" xfId="0" applyFont="1" applyFill="1" applyBorder="1" applyAlignment="1" applyProtection="1">
      <alignment horizontal="left" vertical="center"/>
      <protection locked="0"/>
    </xf>
    <xf numFmtId="0" fontId="4" fillId="6" borderId="26" xfId="0" applyFont="1" applyFill="1" applyBorder="1" applyAlignment="1" applyProtection="1">
      <alignment horizontal="left" vertical="center"/>
      <protection locked="0"/>
    </xf>
    <xf numFmtId="0" fontId="2" fillId="0" borderId="18" xfId="0" applyFont="1" applyBorder="1" applyProtection="1">
      <protection hidden="1"/>
    </xf>
    <xf numFmtId="0" fontId="0" fillId="0" borderId="20" xfId="0" applyBorder="1"/>
    <xf numFmtId="0" fontId="4" fillId="7" borderId="16" xfId="0" applyFont="1" applyFill="1" applyBorder="1" applyAlignment="1" applyProtection="1">
      <alignment horizontal="left"/>
      <protection locked="0"/>
    </xf>
    <xf numFmtId="0" fontId="0" fillId="7" borderId="28" xfId="0" applyFill="1" applyBorder="1" applyAlignment="1">
      <alignment horizontal="left"/>
    </xf>
    <xf numFmtId="0" fontId="0" fillId="7" borderId="17" xfId="0" applyFill="1" applyBorder="1" applyAlignment="1">
      <alignment horizontal="left"/>
    </xf>
    <xf numFmtId="0" fontId="7" fillId="6" borderId="18" xfId="0" applyFont="1" applyFill="1" applyBorder="1" applyAlignment="1" applyProtection="1">
      <alignment horizontal="left"/>
      <protection locked="0"/>
    </xf>
    <xf numFmtId="0" fontId="7" fillId="6" borderId="19" xfId="0" applyFont="1" applyFill="1" applyBorder="1" applyAlignment="1" applyProtection="1">
      <alignment horizontal="left"/>
      <protection locked="0"/>
    </xf>
    <xf numFmtId="0" fontId="7" fillId="6" borderId="20" xfId="0" applyFont="1" applyFill="1" applyBorder="1" applyAlignment="1" applyProtection="1">
      <alignment horizontal="left"/>
      <protection locked="0"/>
    </xf>
    <xf numFmtId="0" fontId="2" fillId="0" borderId="19" xfId="0" applyFont="1" applyBorder="1" applyAlignment="1" applyProtection="1">
      <alignment horizontal="left"/>
      <protection locked="0"/>
    </xf>
    <xf numFmtId="0" fontId="0" fillId="0" borderId="20" xfId="0" applyBorder="1" applyAlignment="1">
      <alignment horizontal="left"/>
    </xf>
    <xf numFmtId="0" fontId="2" fillId="0" borderId="19" xfId="0" applyFont="1" applyBorder="1" applyAlignment="1" applyProtection="1">
      <alignment vertical="center"/>
      <protection hidden="1"/>
    </xf>
    <xf numFmtId="0" fontId="4" fillId="2" borderId="18" xfId="0" applyFont="1" applyFill="1" applyBorder="1" applyAlignment="1" applyProtection="1">
      <alignment horizontal="left"/>
      <protection locked="0"/>
    </xf>
    <xf numFmtId="0" fontId="0" fillId="0" borderId="19" xfId="0" applyBorder="1" applyAlignment="1">
      <alignment horizontal="left"/>
    </xf>
    <xf numFmtId="0" fontId="2" fillId="0" borderId="1" xfId="0" applyFont="1" applyBorder="1" applyAlignment="1" applyProtection="1">
      <alignment horizontal="left" vertical="center" wrapText="1"/>
      <protection hidden="1"/>
    </xf>
    <xf numFmtId="0" fontId="0" fillId="0" borderId="3" xfId="0" applyBorder="1" applyAlignment="1">
      <alignment horizontal="left"/>
    </xf>
    <xf numFmtId="0" fontId="2" fillId="0" borderId="16" xfId="0" applyFont="1" applyBorder="1" applyAlignment="1" applyProtection="1">
      <alignment horizontal="left" vertical="center" wrapText="1"/>
      <protection hidden="1"/>
    </xf>
    <xf numFmtId="0" fontId="0" fillId="0" borderId="17" xfId="0" applyBorder="1" applyAlignment="1">
      <alignment horizontal="left"/>
    </xf>
    <xf numFmtId="0" fontId="2" fillId="0" borderId="18" xfId="0" applyFont="1" applyBorder="1" applyAlignment="1" applyProtection="1">
      <alignment horizontal="left" vertical="center" wrapText="1"/>
      <protection hidden="1"/>
    </xf>
    <xf numFmtId="0" fontId="4" fillId="4" borderId="29" xfId="0" applyFont="1" applyFill="1" applyBorder="1" applyAlignment="1" applyProtection="1">
      <alignment horizontal="left" vertical="center" wrapText="1"/>
      <protection locked="0"/>
    </xf>
    <xf numFmtId="0" fontId="4" fillId="4" borderId="33" xfId="0" applyFont="1" applyFill="1" applyBorder="1" applyAlignment="1" applyProtection="1">
      <alignment horizontal="left" vertical="center" wrapText="1"/>
      <protection locked="0"/>
    </xf>
    <xf numFmtId="0" fontId="2" fillId="0" borderId="42" xfId="0" applyFont="1" applyBorder="1" applyAlignment="1" applyProtection="1">
      <alignment vertical="center"/>
      <protection hidden="1"/>
    </xf>
    <xf numFmtId="0" fontId="0" fillId="0" borderId="41" xfId="0" applyBorder="1" applyProtection="1">
      <protection hidden="1"/>
    </xf>
    <xf numFmtId="0" fontId="2" fillId="0" borderId="29" xfId="0" applyFont="1" applyBorder="1" applyAlignment="1" applyProtection="1">
      <alignment horizontal="center" vertical="center" wrapText="1"/>
      <protection hidden="1"/>
    </xf>
    <xf numFmtId="0" fontId="2" fillId="0" borderId="27" xfId="0" applyFont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/>
    </xf>
    <xf numFmtId="0" fontId="4" fillId="3" borderId="3" xfId="0" applyFont="1" applyFill="1" applyBorder="1" applyAlignment="1">
      <alignment horizontal="left" vertical="center"/>
    </xf>
    <xf numFmtId="0" fontId="10" fillId="3" borderId="16" xfId="0" applyFont="1" applyFill="1" applyBorder="1" applyAlignment="1" applyProtection="1">
      <alignment horizontal="left" vertical="center"/>
      <protection hidden="1"/>
    </xf>
    <xf numFmtId="0" fontId="10" fillId="3" borderId="28" xfId="0" applyFont="1" applyFill="1" applyBorder="1" applyAlignment="1" applyProtection="1">
      <alignment horizontal="left" vertical="center"/>
      <protection hidden="1"/>
    </xf>
    <xf numFmtId="0" fontId="10" fillId="3" borderId="17" xfId="0" applyFont="1" applyFill="1" applyBorder="1" applyAlignment="1" applyProtection="1">
      <alignment horizontal="left" vertical="center"/>
      <protection hidden="1"/>
    </xf>
    <xf numFmtId="49" fontId="9" fillId="2" borderId="23" xfId="0" applyNumberFormat="1" applyFont="1" applyFill="1" applyBorder="1" applyAlignment="1" applyProtection="1">
      <alignment horizontal="left" vertical="center" wrapText="1"/>
      <protection locked="0" hidden="1"/>
    </xf>
    <xf numFmtId="49" fontId="9" fillId="0" borderId="43" xfId="0" applyNumberFormat="1" applyFont="1" applyBorder="1" applyAlignment="1" applyProtection="1">
      <alignment horizontal="left" vertical="center" wrapText="1"/>
      <protection locked="0" hidden="1"/>
    </xf>
    <xf numFmtId="49" fontId="9" fillId="2" borderId="38" xfId="0" applyNumberFormat="1" applyFont="1" applyFill="1" applyBorder="1" applyAlignment="1" applyProtection="1">
      <alignment horizontal="left" vertical="center" wrapText="1"/>
      <protection locked="0" hidden="1"/>
    </xf>
    <xf numFmtId="49" fontId="9" fillId="0" borderId="39" xfId="0" applyNumberFormat="1" applyFont="1" applyBorder="1" applyAlignment="1" applyProtection="1">
      <alignment horizontal="left" vertical="center" wrapText="1"/>
      <protection locked="0" hidden="1"/>
    </xf>
    <xf numFmtId="0" fontId="9" fillId="0" borderId="16" xfId="0" applyFont="1" applyBorder="1" applyAlignment="1" applyProtection="1">
      <alignment horizontal="center" vertical="center"/>
      <protection hidden="1"/>
    </xf>
    <xf numFmtId="0" fontId="0" fillId="0" borderId="17" xfId="0" applyBorder="1" applyAlignment="1">
      <alignment horizontal="center" vertical="center"/>
    </xf>
    <xf numFmtId="0" fontId="2" fillId="7" borderId="25" xfId="0" applyFont="1" applyFill="1" applyBorder="1" applyAlignment="1" applyProtection="1">
      <alignment horizontal="center" vertical="center"/>
      <protection hidden="1"/>
    </xf>
    <xf numFmtId="0" fontId="8" fillId="0" borderId="16" xfId="0" applyFont="1" applyBorder="1" applyAlignment="1" applyProtection="1">
      <alignment horizontal="center" vertical="center" wrapText="1"/>
      <protection hidden="1"/>
    </xf>
    <xf numFmtId="0" fontId="0" fillId="0" borderId="17" xfId="0" applyBorder="1" applyAlignment="1">
      <alignment horizontal="center" vertical="center" wrapText="1"/>
    </xf>
    <xf numFmtId="0" fontId="2" fillId="0" borderId="16" xfId="0" applyFont="1" applyBorder="1" applyAlignment="1" applyProtection="1">
      <alignment horizontal="center"/>
      <protection hidden="1"/>
    </xf>
    <xf numFmtId="0" fontId="2" fillId="0" borderId="17" xfId="0" applyFont="1" applyBorder="1" applyAlignment="1" applyProtection="1">
      <alignment horizontal="center"/>
      <protection hidden="1"/>
    </xf>
    <xf numFmtId="0" fontId="4" fillId="4" borderId="27" xfId="0" applyFont="1" applyFill="1" applyBorder="1" applyAlignment="1" applyProtection="1">
      <alignment horizontal="center" vertical="center" wrapText="1"/>
      <protection locked="0"/>
    </xf>
    <xf numFmtId="0" fontId="7" fillId="0" borderId="33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left" wrapText="1"/>
      <protection locked="0"/>
    </xf>
    <xf numFmtId="0" fontId="0" fillId="0" borderId="10" xfId="0" applyBorder="1" applyAlignment="1" applyProtection="1">
      <alignment horizontal="left" wrapText="1"/>
      <protection locked="0"/>
    </xf>
    <xf numFmtId="0" fontId="0" fillId="0" borderId="6" xfId="0" applyBorder="1" applyAlignment="1" applyProtection="1">
      <alignment horizontal="left" wrapText="1"/>
      <protection locked="0"/>
    </xf>
    <xf numFmtId="0" fontId="0" fillId="0" borderId="13" xfId="0" applyBorder="1" applyAlignment="1" applyProtection="1">
      <alignment horizontal="left" wrapText="1"/>
      <protection locked="0"/>
    </xf>
    <xf numFmtId="0" fontId="0" fillId="0" borderId="14" xfId="0" applyBorder="1" applyAlignment="1" applyProtection="1">
      <alignment horizontal="left" wrapText="1"/>
      <protection locked="0"/>
    </xf>
    <xf numFmtId="0" fontId="2" fillId="0" borderId="18" xfId="0" applyFont="1" applyBorder="1" applyAlignment="1" applyProtection="1">
      <alignment vertical="center" wrapText="1"/>
      <protection hidden="1"/>
    </xf>
    <xf numFmtId="0" fontId="2" fillId="0" borderId="24" xfId="0" applyFont="1" applyBorder="1" applyAlignment="1" applyProtection="1">
      <alignment vertical="center"/>
      <protection hidden="1"/>
    </xf>
    <xf numFmtId="0" fontId="0" fillId="0" borderId="32" xfId="0" applyBorder="1" applyAlignment="1">
      <alignment vertical="center"/>
    </xf>
    <xf numFmtId="0" fontId="0" fillId="0" borderId="46" xfId="0" applyBorder="1" applyAlignment="1">
      <alignment vertical="center"/>
    </xf>
    <xf numFmtId="0" fontId="4" fillId="6" borderId="18" xfId="0" applyFont="1" applyFill="1" applyBorder="1" applyAlignment="1" applyProtection="1">
      <alignment horizontal="left" vertical="center" wrapText="1"/>
      <protection locked="0"/>
    </xf>
    <xf numFmtId="0" fontId="4" fillId="6" borderId="19" xfId="0" applyFont="1" applyFill="1" applyBorder="1" applyAlignment="1" applyProtection="1">
      <alignment horizontal="left" vertical="center" wrapText="1"/>
      <protection locked="0"/>
    </xf>
    <xf numFmtId="0" fontId="4" fillId="6" borderId="20" xfId="0" applyFont="1" applyFill="1" applyBorder="1" applyAlignment="1" applyProtection="1">
      <alignment horizontal="left" vertical="center" wrapText="1"/>
      <protection locked="0"/>
    </xf>
    <xf numFmtId="0" fontId="0" fillId="0" borderId="2" xfId="0" applyBorder="1" applyProtection="1">
      <protection hidden="1"/>
    </xf>
    <xf numFmtId="0" fontId="0" fillId="0" borderId="13" xfId="0" applyBorder="1" applyProtection="1">
      <protection hidden="1"/>
    </xf>
    <xf numFmtId="0" fontId="2" fillId="0" borderId="15" xfId="0" applyFont="1" applyBorder="1" applyAlignment="1" applyProtection="1">
      <alignment vertical="center" wrapText="1"/>
      <protection hidden="1"/>
    </xf>
    <xf numFmtId="0" fontId="0" fillId="0" borderId="27" xfId="0" applyBorder="1" applyProtection="1">
      <protection hidden="1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0" fontId="0" fillId="0" borderId="28" xfId="0" applyBorder="1" applyAlignment="1">
      <alignment horizontal="left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g"/><Relationship Id="rId3" Type="http://schemas.openxmlformats.org/officeDocument/2006/relationships/image" Target="../media/image2.jpg"/><Relationship Id="rId7" Type="http://schemas.openxmlformats.org/officeDocument/2006/relationships/image" Target="../media/image13.jpg"/><Relationship Id="rId2" Type="http://schemas.openxmlformats.org/officeDocument/2006/relationships/image" Target="../media/image1.jpg"/><Relationship Id="rId1" Type="http://schemas.openxmlformats.org/officeDocument/2006/relationships/image" Target="../media/image12.jpg"/><Relationship Id="rId6" Type="http://schemas.openxmlformats.org/officeDocument/2006/relationships/image" Target="../media/image5.jpg"/><Relationship Id="rId11" Type="http://schemas.openxmlformats.org/officeDocument/2006/relationships/image" Target="../media/image9.jpg"/><Relationship Id="rId5" Type="http://schemas.openxmlformats.org/officeDocument/2006/relationships/image" Target="../media/image4.jpg"/><Relationship Id="rId10" Type="http://schemas.openxmlformats.org/officeDocument/2006/relationships/image" Target="../media/image8.jpg"/><Relationship Id="rId4" Type="http://schemas.openxmlformats.org/officeDocument/2006/relationships/image" Target="../media/image3.jpg"/><Relationship Id="rId9" Type="http://schemas.openxmlformats.org/officeDocument/2006/relationships/image" Target="../media/image7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5.jpg"/><Relationship Id="rId5" Type="http://schemas.openxmlformats.org/officeDocument/2006/relationships/image" Target="../media/image5.jpg"/><Relationship Id="rId10" Type="http://schemas.openxmlformats.org/officeDocument/2006/relationships/image" Target="../media/image14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9525</xdr:colOff>
          <xdr:row>1</xdr:row>
          <xdr:rowOff>133350</xdr:rowOff>
        </xdr:from>
        <xdr:to>
          <xdr:col>6</xdr:col>
          <xdr:colOff>695325</xdr:colOff>
          <xdr:row>4</xdr:row>
          <xdr:rowOff>180975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38100</xdr:colOff>
          <xdr:row>25</xdr:row>
          <xdr:rowOff>133350</xdr:rowOff>
        </xdr:from>
        <xdr:to>
          <xdr:col>6</xdr:col>
          <xdr:colOff>723900</xdr:colOff>
          <xdr:row>28</xdr:row>
          <xdr:rowOff>171450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38100</xdr:colOff>
          <xdr:row>49</xdr:row>
          <xdr:rowOff>133350</xdr:rowOff>
        </xdr:from>
        <xdr:to>
          <xdr:col>6</xdr:col>
          <xdr:colOff>714375</xdr:colOff>
          <xdr:row>53</xdr:row>
          <xdr:rowOff>19050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1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171450</xdr:colOff>
          <xdr:row>69</xdr:row>
          <xdr:rowOff>152400</xdr:rowOff>
        </xdr:from>
        <xdr:to>
          <xdr:col>1</xdr:col>
          <xdr:colOff>390525</xdr:colOff>
          <xdr:row>72</xdr:row>
          <xdr:rowOff>180975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1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180975</xdr:colOff>
          <xdr:row>69</xdr:row>
          <xdr:rowOff>152400</xdr:rowOff>
        </xdr:from>
        <xdr:to>
          <xdr:col>9</xdr:col>
          <xdr:colOff>238125</xdr:colOff>
          <xdr:row>72</xdr:row>
          <xdr:rowOff>190500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1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228600</xdr:colOff>
          <xdr:row>90</xdr:row>
          <xdr:rowOff>76200</xdr:rowOff>
        </xdr:from>
        <xdr:to>
          <xdr:col>1</xdr:col>
          <xdr:colOff>457200</xdr:colOff>
          <xdr:row>94</xdr:row>
          <xdr:rowOff>9525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1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200025</xdr:colOff>
          <xdr:row>90</xdr:row>
          <xdr:rowOff>114300</xdr:rowOff>
        </xdr:from>
        <xdr:to>
          <xdr:col>9</xdr:col>
          <xdr:colOff>285750</xdr:colOff>
          <xdr:row>94</xdr:row>
          <xdr:rowOff>28575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1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190500</xdr:colOff>
          <xdr:row>103</xdr:row>
          <xdr:rowOff>85725</xdr:rowOff>
        </xdr:from>
        <xdr:to>
          <xdr:col>1</xdr:col>
          <xdr:colOff>419100</xdr:colOff>
          <xdr:row>106</xdr:row>
          <xdr:rowOff>190500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1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190500</xdr:colOff>
          <xdr:row>103</xdr:row>
          <xdr:rowOff>142875</xdr:rowOff>
        </xdr:from>
        <xdr:to>
          <xdr:col>9</xdr:col>
          <xdr:colOff>276225</xdr:colOff>
          <xdr:row>107</xdr:row>
          <xdr:rowOff>47625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1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180975</xdr:colOff>
          <xdr:row>118</xdr:row>
          <xdr:rowOff>114300</xdr:rowOff>
        </xdr:from>
        <xdr:to>
          <xdr:col>1</xdr:col>
          <xdr:colOff>409575</xdr:colOff>
          <xdr:row>122</xdr:row>
          <xdr:rowOff>19050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1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228600</xdr:colOff>
          <xdr:row>118</xdr:row>
          <xdr:rowOff>114300</xdr:rowOff>
        </xdr:from>
        <xdr:to>
          <xdr:col>9</xdr:col>
          <xdr:colOff>295275</xdr:colOff>
          <xdr:row>122</xdr:row>
          <xdr:rowOff>19050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1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190499</xdr:colOff>
      <xdr:row>121</xdr:row>
      <xdr:rowOff>123825</xdr:rowOff>
    </xdr:from>
    <xdr:to>
      <xdr:col>4</xdr:col>
      <xdr:colOff>173133</xdr:colOff>
      <xdr:row>132</xdr:row>
      <xdr:rowOff>91440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19" t="82395" r="44904" b="6171"/>
        <a:stretch/>
      </xdr:blipFill>
      <xdr:spPr>
        <a:xfrm>
          <a:off x="657224" y="23831550"/>
          <a:ext cx="1803814" cy="2085975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94</xdr:row>
      <xdr:rowOff>0</xdr:rowOff>
    </xdr:from>
    <xdr:to>
      <xdr:col>5</xdr:col>
      <xdr:colOff>552078</xdr:colOff>
      <xdr:row>102</xdr:row>
      <xdr:rowOff>167640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95" t="79072" r="35500" b="8807"/>
        <a:stretch/>
      </xdr:blipFill>
      <xdr:spPr>
        <a:xfrm>
          <a:off x="361950" y="18545175"/>
          <a:ext cx="3095253" cy="1685925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457200</xdr:colOff>
      <xdr:row>93</xdr:row>
      <xdr:rowOff>167640</xdr:rowOff>
    </xdr:from>
    <xdr:to>
      <xdr:col>11</xdr:col>
      <xdr:colOff>438048</xdr:colOff>
      <xdr:row>103</xdr:row>
      <xdr:rowOff>59055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97" t="80302" r="36743" b="7292"/>
        <a:stretch/>
      </xdr:blipFill>
      <xdr:spPr>
        <a:xfrm>
          <a:off x="5267325" y="17729359"/>
          <a:ext cx="3243161" cy="1683067"/>
        </a:xfrm>
        <a:prstGeom prst="rect">
          <a:avLst/>
        </a:prstGeom>
      </xdr:spPr>
    </xdr:pic>
    <xdr:clientData/>
  </xdr:twoCellAnchor>
  <xdr:twoCellAnchor editAs="oneCell">
    <xdr:from>
      <xdr:col>7</xdr:col>
      <xdr:colOff>409576</xdr:colOff>
      <xdr:row>106</xdr:row>
      <xdr:rowOff>79211</xdr:rowOff>
    </xdr:from>
    <xdr:to>
      <xdr:col>11</xdr:col>
      <xdr:colOff>550546</xdr:colOff>
      <xdr:row>116</xdr:row>
      <xdr:rowOff>137160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556" t="76894" r="38259" b="10227"/>
        <a:stretch/>
      </xdr:blipFill>
      <xdr:spPr>
        <a:xfrm>
          <a:off x="5076826" y="20910386"/>
          <a:ext cx="3314700" cy="1987714"/>
        </a:xfrm>
        <a:prstGeom prst="rect">
          <a:avLst/>
        </a:prstGeom>
      </xdr:spPr>
    </xdr:pic>
    <xdr:clientData/>
  </xdr:twoCellAnchor>
  <xdr:twoCellAnchor editAs="oneCell">
    <xdr:from>
      <xdr:col>0</xdr:col>
      <xdr:colOff>234315</xdr:colOff>
      <xdr:row>106</xdr:row>
      <xdr:rowOff>28099</xdr:rowOff>
    </xdr:from>
    <xdr:to>
      <xdr:col>6</xdr:col>
      <xdr:colOff>511972</xdr:colOff>
      <xdr:row>115</xdr:row>
      <xdr:rowOff>168593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50" t="76420" r="34009" b="8712"/>
        <a:stretch/>
      </xdr:blipFill>
      <xdr:spPr>
        <a:xfrm>
          <a:off x="234315" y="19923443"/>
          <a:ext cx="4006695" cy="1771649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52</xdr:row>
      <xdr:rowOff>152400</xdr:rowOff>
    </xdr:from>
    <xdr:to>
      <xdr:col>14</xdr:col>
      <xdr:colOff>37635</xdr:colOff>
      <xdr:row>67</xdr:row>
      <xdr:rowOff>135254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" t="73106" r="5922" b="7386"/>
        <a:stretch/>
      </xdr:blipFill>
      <xdr:spPr>
        <a:xfrm>
          <a:off x="104775" y="10601325"/>
          <a:ext cx="10334160" cy="283844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72</xdr:row>
      <xdr:rowOff>123825</xdr:rowOff>
    </xdr:from>
    <xdr:to>
      <xdr:col>4</xdr:col>
      <xdr:colOff>415924</xdr:colOff>
      <xdr:row>86</xdr:row>
      <xdr:rowOff>171450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76" t="75286" r="42087" b="4261"/>
        <a:stretch/>
      </xdr:blipFill>
      <xdr:spPr>
        <a:xfrm>
          <a:off x="285749" y="14449425"/>
          <a:ext cx="2425700" cy="2743200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428625</xdr:colOff>
      <xdr:row>72</xdr:row>
      <xdr:rowOff>104775</xdr:rowOff>
    </xdr:from>
    <xdr:to>
      <xdr:col>11</xdr:col>
      <xdr:colOff>445473</xdr:colOff>
      <xdr:row>87</xdr:row>
      <xdr:rowOff>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64" t="75853" r="42833" b="3503"/>
        <a:stretch/>
      </xdr:blipFill>
      <xdr:spPr>
        <a:xfrm>
          <a:off x="5705475" y="14430375"/>
          <a:ext cx="2577168" cy="27813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238123</xdr:colOff>
      <xdr:row>121</xdr:row>
      <xdr:rowOff>119062</xdr:rowOff>
    </xdr:from>
    <xdr:to>
      <xdr:col>10</xdr:col>
      <xdr:colOff>1162525</xdr:colOff>
      <xdr:row>132</xdr:row>
      <xdr:rowOff>130969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545" t="80137" r="47027" b="6605"/>
        <a:stretch/>
      </xdr:blipFill>
      <xdr:spPr>
        <a:xfrm>
          <a:off x="6124573" y="23826787"/>
          <a:ext cx="1526382" cy="2126457"/>
        </a:xfrm>
        <a:prstGeom prst="rect">
          <a:avLst/>
        </a:prstGeom>
      </xdr:spPr>
    </xdr:pic>
    <xdr:clientData/>
  </xdr:twoCellAnchor>
  <xdr:twoCellAnchor editAs="oneCell">
    <xdr:from>
      <xdr:col>6</xdr:col>
      <xdr:colOff>321469</xdr:colOff>
      <xdr:row>135</xdr:row>
      <xdr:rowOff>107156</xdr:rowOff>
    </xdr:from>
    <xdr:to>
      <xdr:col>8</xdr:col>
      <xdr:colOff>190501</xdr:colOff>
      <xdr:row>146</xdr:row>
      <xdr:rowOff>130969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545" t="80137" r="47027" b="6605"/>
        <a:stretch/>
      </xdr:blipFill>
      <xdr:spPr>
        <a:xfrm>
          <a:off x="3940969" y="26510456"/>
          <a:ext cx="1526382" cy="2128838"/>
        </a:xfrm>
        <a:prstGeom prst="rect">
          <a:avLst/>
        </a:prstGeom>
      </xdr:spPr>
    </xdr:pic>
    <xdr:clientData/>
  </xdr:twoCellAnchor>
  <xdr:twoCellAnchor editAs="oneCell">
    <xdr:from>
      <xdr:col>0</xdr:col>
      <xdr:colOff>130968</xdr:colOff>
      <xdr:row>5</xdr:row>
      <xdr:rowOff>71436</xdr:rowOff>
    </xdr:from>
    <xdr:to>
      <xdr:col>14</xdr:col>
      <xdr:colOff>60840</xdr:colOff>
      <xdr:row>24</xdr:row>
      <xdr:rowOff>174307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1" t="72799" r="4928" b="1278"/>
        <a:stretch/>
      </xdr:blipFill>
      <xdr:spPr>
        <a:xfrm>
          <a:off x="130968" y="1297780"/>
          <a:ext cx="10312122" cy="372665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29</xdr:row>
      <xdr:rowOff>47783</xdr:rowOff>
    </xdr:from>
    <xdr:to>
      <xdr:col>14</xdr:col>
      <xdr:colOff>63818</xdr:colOff>
      <xdr:row>46</xdr:row>
      <xdr:rowOff>174308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7" t="73036" r="4928" b="3645"/>
        <a:stretch/>
      </xdr:blipFill>
      <xdr:spPr>
        <a:xfrm>
          <a:off x="190500" y="6096158"/>
          <a:ext cx="10263188" cy="33574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9525</xdr:colOff>
          <xdr:row>1</xdr:row>
          <xdr:rowOff>171450</xdr:rowOff>
        </xdr:from>
        <xdr:to>
          <xdr:col>6</xdr:col>
          <xdr:colOff>695325</xdr:colOff>
          <xdr:row>5</xdr:row>
          <xdr:rowOff>28575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2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38100</xdr:colOff>
          <xdr:row>25</xdr:row>
          <xdr:rowOff>352425</xdr:rowOff>
        </xdr:from>
        <xdr:to>
          <xdr:col>6</xdr:col>
          <xdr:colOff>723900</xdr:colOff>
          <xdr:row>29</xdr:row>
          <xdr:rowOff>28575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2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28575</xdr:colOff>
          <xdr:row>49</xdr:row>
          <xdr:rowOff>323850</xdr:rowOff>
        </xdr:from>
        <xdr:to>
          <xdr:col>6</xdr:col>
          <xdr:colOff>704850</xdr:colOff>
          <xdr:row>53</xdr:row>
          <xdr:rowOff>38100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2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171450</xdr:colOff>
          <xdr:row>69</xdr:row>
          <xdr:rowOff>171450</xdr:rowOff>
        </xdr:from>
        <xdr:to>
          <xdr:col>1</xdr:col>
          <xdr:colOff>390525</xdr:colOff>
          <xdr:row>73</xdr:row>
          <xdr:rowOff>9525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2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180975</xdr:colOff>
          <xdr:row>69</xdr:row>
          <xdr:rowOff>171450</xdr:rowOff>
        </xdr:from>
        <xdr:to>
          <xdr:col>9</xdr:col>
          <xdr:colOff>238125</xdr:colOff>
          <xdr:row>73</xdr:row>
          <xdr:rowOff>19050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2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180975</xdr:colOff>
          <xdr:row>90</xdr:row>
          <xdr:rowOff>104775</xdr:rowOff>
        </xdr:from>
        <xdr:to>
          <xdr:col>1</xdr:col>
          <xdr:colOff>409575</xdr:colOff>
          <xdr:row>94</xdr:row>
          <xdr:rowOff>28575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2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190500</xdr:colOff>
          <xdr:row>90</xdr:row>
          <xdr:rowOff>133350</xdr:rowOff>
        </xdr:from>
        <xdr:to>
          <xdr:col>9</xdr:col>
          <xdr:colOff>276225</xdr:colOff>
          <xdr:row>94</xdr:row>
          <xdr:rowOff>47625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2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180975</xdr:colOff>
          <xdr:row>103</xdr:row>
          <xdr:rowOff>104775</xdr:rowOff>
        </xdr:from>
        <xdr:to>
          <xdr:col>1</xdr:col>
          <xdr:colOff>409575</xdr:colOff>
          <xdr:row>107</xdr:row>
          <xdr:rowOff>19050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2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190500</xdr:colOff>
          <xdr:row>103</xdr:row>
          <xdr:rowOff>133350</xdr:rowOff>
        </xdr:from>
        <xdr:to>
          <xdr:col>9</xdr:col>
          <xdr:colOff>276225</xdr:colOff>
          <xdr:row>107</xdr:row>
          <xdr:rowOff>47625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2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180975</xdr:colOff>
          <xdr:row>118</xdr:row>
          <xdr:rowOff>133350</xdr:rowOff>
        </xdr:from>
        <xdr:to>
          <xdr:col>1</xdr:col>
          <xdr:colOff>409575</xdr:colOff>
          <xdr:row>122</xdr:row>
          <xdr:rowOff>47625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2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219075</xdr:colOff>
          <xdr:row>118</xdr:row>
          <xdr:rowOff>123825</xdr:rowOff>
        </xdr:from>
        <xdr:to>
          <xdr:col>9</xdr:col>
          <xdr:colOff>285750</xdr:colOff>
          <xdr:row>122</xdr:row>
          <xdr:rowOff>38100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2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200025</xdr:colOff>
      <xdr:row>29</xdr:row>
      <xdr:rowOff>114300</xdr:rowOff>
    </xdr:from>
    <xdr:to>
      <xdr:col>14</xdr:col>
      <xdr:colOff>60505</xdr:colOff>
      <xdr:row>47</xdr:row>
      <xdr:rowOff>53988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879" b="37122"/>
        <a:stretch/>
      </xdr:blipFill>
      <xdr:spPr>
        <a:xfrm>
          <a:off x="200025" y="5753100"/>
          <a:ext cx="10267495" cy="3368688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122</xdr:row>
      <xdr:rowOff>123825</xdr:rowOff>
    </xdr:from>
    <xdr:to>
      <xdr:col>4</xdr:col>
      <xdr:colOff>173133</xdr:colOff>
      <xdr:row>133</xdr:row>
      <xdr:rowOff>91440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19" t="82395" r="44904" b="6171"/>
        <a:stretch/>
      </xdr:blipFill>
      <xdr:spPr>
        <a:xfrm>
          <a:off x="657224" y="23831550"/>
          <a:ext cx="1803814" cy="2085975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95</xdr:row>
      <xdr:rowOff>0</xdr:rowOff>
    </xdr:from>
    <xdr:to>
      <xdr:col>5</xdr:col>
      <xdr:colOff>552078</xdr:colOff>
      <xdr:row>103</xdr:row>
      <xdr:rowOff>167640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95" t="79072" r="35500" b="8807"/>
        <a:stretch/>
      </xdr:blipFill>
      <xdr:spPr>
        <a:xfrm>
          <a:off x="361950" y="18545175"/>
          <a:ext cx="3095253" cy="1685925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457200</xdr:colOff>
      <xdr:row>94</xdr:row>
      <xdr:rowOff>171450</xdr:rowOff>
    </xdr:from>
    <xdr:to>
      <xdr:col>11</xdr:col>
      <xdr:colOff>441858</xdr:colOff>
      <xdr:row>104</xdr:row>
      <xdr:rowOff>62865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97" t="80302" r="36743" b="7292"/>
        <a:stretch/>
      </xdr:blipFill>
      <xdr:spPr>
        <a:xfrm>
          <a:off x="5124450" y="18526125"/>
          <a:ext cx="3146958" cy="1800225"/>
        </a:xfrm>
        <a:prstGeom prst="rect">
          <a:avLst/>
        </a:prstGeom>
      </xdr:spPr>
    </xdr:pic>
    <xdr:clientData/>
  </xdr:twoCellAnchor>
  <xdr:twoCellAnchor editAs="oneCell">
    <xdr:from>
      <xdr:col>7</xdr:col>
      <xdr:colOff>409576</xdr:colOff>
      <xdr:row>107</xdr:row>
      <xdr:rowOff>79211</xdr:rowOff>
    </xdr:from>
    <xdr:to>
      <xdr:col>11</xdr:col>
      <xdr:colOff>558166</xdr:colOff>
      <xdr:row>117</xdr:row>
      <xdr:rowOff>139065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556" t="76894" r="38259" b="10227"/>
        <a:stretch/>
      </xdr:blipFill>
      <xdr:spPr>
        <a:xfrm>
          <a:off x="5076826" y="20910386"/>
          <a:ext cx="3314700" cy="198771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107</xdr:row>
      <xdr:rowOff>85725</xdr:rowOff>
    </xdr:from>
    <xdr:to>
      <xdr:col>6</xdr:col>
      <xdr:colOff>553882</xdr:colOff>
      <xdr:row>117</xdr:row>
      <xdr:rowOff>53340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50" t="76420" r="34009" b="8712"/>
        <a:stretch/>
      </xdr:blipFill>
      <xdr:spPr>
        <a:xfrm>
          <a:off x="285750" y="20916900"/>
          <a:ext cx="3880012" cy="18859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</xdr:row>
      <xdr:rowOff>85725</xdr:rowOff>
    </xdr:from>
    <xdr:to>
      <xdr:col>14</xdr:col>
      <xdr:colOff>27649</xdr:colOff>
      <xdr:row>25</xdr:row>
      <xdr:rowOff>38099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5" t="73390" r="5176" b="1610"/>
        <a:stretch/>
      </xdr:blipFill>
      <xdr:spPr>
        <a:xfrm>
          <a:off x="190500" y="1095375"/>
          <a:ext cx="10242259" cy="3581399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53</xdr:row>
      <xdr:rowOff>152400</xdr:rowOff>
    </xdr:from>
    <xdr:to>
      <xdr:col>14</xdr:col>
      <xdr:colOff>37635</xdr:colOff>
      <xdr:row>68</xdr:row>
      <xdr:rowOff>127634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" t="73106" r="5922" b="7386"/>
        <a:stretch/>
      </xdr:blipFill>
      <xdr:spPr>
        <a:xfrm>
          <a:off x="104775" y="10601325"/>
          <a:ext cx="10334160" cy="283844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73</xdr:row>
      <xdr:rowOff>123825</xdr:rowOff>
    </xdr:from>
    <xdr:to>
      <xdr:col>4</xdr:col>
      <xdr:colOff>415924</xdr:colOff>
      <xdr:row>87</xdr:row>
      <xdr:rowOff>171450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76" t="75286" r="42087" b="4261"/>
        <a:stretch/>
      </xdr:blipFill>
      <xdr:spPr>
        <a:xfrm>
          <a:off x="285749" y="14449425"/>
          <a:ext cx="2425700" cy="2743200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428625</xdr:colOff>
      <xdr:row>73</xdr:row>
      <xdr:rowOff>104775</xdr:rowOff>
    </xdr:from>
    <xdr:to>
      <xdr:col>11</xdr:col>
      <xdr:colOff>449283</xdr:colOff>
      <xdr:row>88</xdr:row>
      <xdr:rowOff>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64" t="75853" r="42833" b="3503"/>
        <a:stretch/>
      </xdr:blipFill>
      <xdr:spPr>
        <a:xfrm>
          <a:off x="5705475" y="14430375"/>
          <a:ext cx="2577168" cy="27813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238123</xdr:colOff>
      <xdr:row>122</xdr:row>
      <xdr:rowOff>119062</xdr:rowOff>
    </xdr:from>
    <xdr:to>
      <xdr:col>10</xdr:col>
      <xdr:colOff>1162525</xdr:colOff>
      <xdr:row>133</xdr:row>
      <xdr:rowOff>125254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545" t="80137" r="47027" b="6605"/>
        <a:stretch/>
      </xdr:blipFill>
      <xdr:spPr>
        <a:xfrm>
          <a:off x="6124573" y="23826787"/>
          <a:ext cx="1526382" cy="2126457"/>
        </a:xfrm>
        <a:prstGeom prst="rect">
          <a:avLst/>
        </a:prstGeom>
      </xdr:spPr>
    </xdr:pic>
    <xdr:clientData/>
  </xdr:twoCellAnchor>
  <xdr:twoCellAnchor editAs="oneCell">
    <xdr:from>
      <xdr:col>6</xdr:col>
      <xdr:colOff>321469</xdr:colOff>
      <xdr:row>136</xdr:row>
      <xdr:rowOff>107156</xdr:rowOff>
    </xdr:from>
    <xdr:to>
      <xdr:col>8</xdr:col>
      <xdr:colOff>190501</xdr:colOff>
      <xdr:row>147</xdr:row>
      <xdr:rowOff>125254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545" t="80137" r="47027" b="6605"/>
        <a:stretch/>
      </xdr:blipFill>
      <xdr:spPr>
        <a:xfrm>
          <a:off x="3940969" y="26510456"/>
          <a:ext cx="1526382" cy="21288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9525</xdr:colOff>
          <xdr:row>1</xdr:row>
          <xdr:rowOff>161925</xdr:rowOff>
        </xdr:from>
        <xdr:to>
          <xdr:col>6</xdr:col>
          <xdr:colOff>695325</xdr:colOff>
          <xdr:row>5</xdr:row>
          <xdr:rowOff>19050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3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38100</xdr:colOff>
          <xdr:row>25</xdr:row>
          <xdr:rowOff>352425</xdr:rowOff>
        </xdr:from>
        <xdr:to>
          <xdr:col>6</xdr:col>
          <xdr:colOff>723900</xdr:colOff>
          <xdr:row>29</xdr:row>
          <xdr:rowOff>28575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3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19050</xdr:colOff>
          <xdr:row>49</xdr:row>
          <xdr:rowOff>323850</xdr:rowOff>
        </xdr:from>
        <xdr:to>
          <xdr:col>6</xdr:col>
          <xdr:colOff>704850</xdr:colOff>
          <xdr:row>53</xdr:row>
          <xdr:rowOff>38100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3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171450</xdr:colOff>
          <xdr:row>69</xdr:row>
          <xdr:rowOff>161925</xdr:rowOff>
        </xdr:from>
        <xdr:to>
          <xdr:col>1</xdr:col>
          <xdr:colOff>390525</xdr:colOff>
          <xdr:row>73</xdr:row>
          <xdr:rowOff>9525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3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180975</xdr:colOff>
          <xdr:row>69</xdr:row>
          <xdr:rowOff>171450</xdr:rowOff>
        </xdr:from>
        <xdr:to>
          <xdr:col>9</xdr:col>
          <xdr:colOff>238125</xdr:colOff>
          <xdr:row>73</xdr:row>
          <xdr:rowOff>19050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3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180975</xdr:colOff>
          <xdr:row>90</xdr:row>
          <xdr:rowOff>104775</xdr:rowOff>
        </xdr:from>
        <xdr:to>
          <xdr:col>1</xdr:col>
          <xdr:colOff>400050</xdr:colOff>
          <xdr:row>94</xdr:row>
          <xdr:rowOff>19050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3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190500</xdr:colOff>
          <xdr:row>90</xdr:row>
          <xdr:rowOff>133350</xdr:rowOff>
        </xdr:from>
        <xdr:to>
          <xdr:col>9</xdr:col>
          <xdr:colOff>276225</xdr:colOff>
          <xdr:row>94</xdr:row>
          <xdr:rowOff>47625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180975</xdr:colOff>
          <xdr:row>103</xdr:row>
          <xdr:rowOff>104775</xdr:rowOff>
        </xdr:from>
        <xdr:to>
          <xdr:col>1</xdr:col>
          <xdr:colOff>409575</xdr:colOff>
          <xdr:row>107</xdr:row>
          <xdr:rowOff>19050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3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190500</xdr:colOff>
          <xdr:row>103</xdr:row>
          <xdr:rowOff>133350</xdr:rowOff>
        </xdr:from>
        <xdr:to>
          <xdr:col>9</xdr:col>
          <xdr:colOff>276225</xdr:colOff>
          <xdr:row>107</xdr:row>
          <xdr:rowOff>47625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3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180975</xdr:colOff>
          <xdr:row>118</xdr:row>
          <xdr:rowOff>133350</xdr:rowOff>
        </xdr:from>
        <xdr:to>
          <xdr:col>1</xdr:col>
          <xdr:colOff>400050</xdr:colOff>
          <xdr:row>122</xdr:row>
          <xdr:rowOff>47625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3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209550</xdr:colOff>
          <xdr:row>118</xdr:row>
          <xdr:rowOff>123825</xdr:rowOff>
        </xdr:from>
        <xdr:to>
          <xdr:col>9</xdr:col>
          <xdr:colOff>285750</xdr:colOff>
          <xdr:row>122</xdr:row>
          <xdr:rowOff>28575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238124</xdr:colOff>
      <xdr:row>122</xdr:row>
      <xdr:rowOff>100013</xdr:rowOff>
    </xdr:from>
    <xdr:to>
      <xdr:col>4</xdr:col>
      <xdr:colOff>213138</xdr:colOff>
      <xdr:row>133</xdr:row>
      <xdr:rowOff>54293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19" t="82395" r="44904" b="6171"/>
        <a:stretch/>
      </xdr:blipFill>
      <xdr:spPr>
        <a:xfrm>
          <a:off x="702468" y="23829169"/>
          <a:ext cx="1796670" cy="2093119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95</xdr:row>
      <xdr:rowOff>0</xdr:rowOff>
    </xdr:from>
    <xdr:to>
      <xdr:col>5</xdr:col>
      <xdr:colOff>552078</xdr:colOff>
      <xdr:row>103</xdr:row>
      <xdr:rowOff>167640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00000000-0008-0000-0300-000000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95" t="79072" r="35500" b="8807"/>
        <a:stretch/>
      </xdr:blipFill>
      <xdr:spPr>
        <a:xfrm>
          <a:off x="361950" y="18164175"/>
          <a:ext cx="3095253" cy="1685925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457200</xdr:colOff>
      <xdr:row>94</xdr:row>
      <xdr:rowOff>171450</xdr:rowOff>
    </xdr:from>
    <xdr:to>
      <xdr:col>11</xdr:col>
      <xdr:colOff>441858</xdr:colOff>
      <xdr:row>104</xdr:row>
      <xdr:rowOff>62865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00000000-0008-0000-0300-000002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97" t="80302" r="36743" b="7292"/>
        <a:stretch/>
      </xdr:blipFill>
      <xdr:spPr>
        <a:xfrm>
          <a:off x="5124450" y="18145125"/>
          <a:ext cx="3146958" cy="1800225"/>
        </a:xfrm>
        <a:prstGeom prst="rect">
          <a:avLst/>
        </a:prstGeom>
      </xdr:spPr>
    </xdr:pic>
    <xdr:clientData/>
  </xdr:twoCellAnchor>
  <xdr:twoCellAnchor editAs="oneCell">
    <xdr:from>
      <xdr:col>7</xdr:col>
      <xdr:colOff>409576</xdr:colOff>
      <xdr:row>107</xdr:row>
      <xdr:rowOff>79211</xdr:rowOff>
    </xdr:from>
    <xdr:to>
      <xdr:col>11</xdr:col>
      <xdr:colOff>558166</xdr:colOff>
      <xdr:row>117</xdr:row>
      <xdr:rowOff>139065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00000000-0008-0000-0300-000004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556" t="76894" r="38259" b="10227"/>
        <a:stretch/>
      </xdr:blipFill>
      <xdr:spPr>
        <a:xfrm>
          <a:off x="5076826" y="20529386"/>
          <a:ext cx="3314700" cy="198771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107</xdr:row>
      <xdr:rowOff>85725</xdr:rowOff>
    </xdr:from>
    <xdr:to>
      <xdr:col>6</xdr:col>
      <xdr:colOff>553882</xdr:colOff>
      <xdr:row>117</xdr:row>
      <xdr:rowOff>53340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00000000-0008-0000-0300-000006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50" t="76420" r="34009" b="8712"/>
        <a:stretch/>
      </xdr:blipFill>
      <xdr:spPr>
        <a:xfrm>
          <a:off x="285750" y="20933569"/>
          <a:ext cx="3868106" cy="1890712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53</xdr:row>
      <xdr:rowOff>152400</xdr:rowOff>
    </xdr:from>
    <xdr:to>
      <xdr:col>14</xdr:col>
      <xdr:colOff>37635</xdr:colOff>
      <xdr:row>68</xdr:row>
      <xdr:rowOff>127634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" t="73106" r="5922" b="7386"/>
        <a:stretch/>
      </xdr:blipFill>
      <xdr:spPr>
        <a:xfrm>
          <a:off x="104775" y="10601325"/>
          <a:ext cx="10334160" cy="283844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73</xdr:row>
      <xdr:rowOff>123825</xdr:rowOff>
    </xdr:from>
    <xdr:to>
      <xdr:col>4</xdr:col>
      <xdr:colOff>415924</xdr:colOff>
      <xdr:row>87</xdr:row>
      <xdr:rowOff>171450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76" t="75286" r="42087" b="4261"/>
        <a:stretch/>
      </xdr:blipFill>
      <xdr:spPr>
        <a:xfrm>
          <a:off x="285749" y="14449425"/>
          <a:ext cx="2425700" cy="2743200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428625</xdr:colOff>
      <xdr:row>73</xdr:row>
      <xdr:rowOff>104775</xdr:rowOff>
    </xdr:from>
    <xdr:to>
      <xdr:col>11</xdr:col>
      <xdr:colOff>449283</xdr:colOff>
      <xdr:row>88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64" t="75853" r="42833" b="3503"/>
        <a:stretch/>
      </xdr:blipFill>
      <xdr:spPr>
        <a:xfrm>
          <a:off x="5705475" y="14430375"/>
          <a:ext cx="2577168" cy="2781300"/>
        </a:xfrm>
        <a:prstGeom prst="rect">
          <a:avLst/>
        </a:prstGeom>
      </xdr:spPr>
    </xdr:pic>
    <xdr:clientData/>
  </xdr:twoCellAnchor>
  <xdr:twoCellAnchor editAs="oneCell">
    <xdr:from>
      <xdr:col>9</xdr:col>
      <xdr:colOff>297655</xdr:colOff>
      <xdr:row>122</xdr:row>
      <xdr:rowOff>71437</xdr:rowOff>
    </xdr:from>
    <xdr:to>
      <xdr:col>10</xdr:col>
      <xdr:colOff>1210627</xdr:colOff>
      <xdr:row>133</xdr:row>
      <xdr:rowOff>73819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545" t="80137" r="47027" b="6605"/>
        <a:stretch/>
      </xdr:blipFill>
      <xdr:spPr>
        <a:xfrm>
          <a:off x="6167436" y="23800593"/>
          <a:ext cx="1524001" cy="2133601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381001</xdr:colOff>
      <xdr:row>136</xdr:row>
      <xdr:rowOff>83344</xdr:rowOff>
    </xdr:from>
    <xdr:to>
      <xdr:col>8</xdr:col>
      <xdr:colOff>250033</xdr:colOff>
      <xdr:row>147</xdr:row>
      <xdr:rowOff>97632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545" t="80137" r="47027" b="6605"/>
        <a:stretch/>
      </xdr:blipFill>
      <xdr:spPr>
        <a:xfrm>
          <a:off x="3988595" y="26515219"/>
          <a:ext cx="1524001" cy="2133601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214312</xdr:colOff>
      <xdr:row>6</xdr:row>
      <xdr:rowOff>0</xdr:rowOff>
    </xdr:from>
    <xdr:to>
      <xdr:col>13</xdr:col>
      <xdr:colOff>1005840</xdr:colOff>
      <xdr:row>24</xdr:row>
      <xdr:rowOff>161613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8" t="73154" r="5550" b="1634"/>
        <a:stretch/>
      </xdr:blipFill>
      <xdr:spPr>
        <a:xfrm>
          <a:off x="214312" y="1012031"/>
          <a:ext cx="10120313" cy="359871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95252</xdr:colOff>
      <xdr:row>30</xdr:row>
      <xdr:rowOff>11906</xdr:rowOff>
    </xdr:from>
    <xdr:to>
      <xdr:col>14</xdr:col>
      <xdr:colOff>17896</xdr:colOff>
      <xdr:row>47</xdr:row>
      <xdr:rowOff>130969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7" t="73035" r="5395" b="3765"/>
        <a:stretch/>
      </xdr:blipFill>
      <xdr:spPr>
        <a:xfrm>
          <a:off x="95252" y="5845969"/>
          <a:ext cx="10312514" cy="33575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.xml"/><Relationship Id="rId13" Type="http://schemas.openxmlformats.org/officeDocument/2006/relationships/ctrlProp" Target="../ctrlProps/ctrlProp21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5.xml"/><Relationship Id="rId12" Type="http://schemas.openxmlformats.org/officeDocument/2006/relationships/ctrlProp" Target="../ctrlProps/ctrlProp2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4.xml"/><Relationship Id="rId11" Type="http://schemas.openxmlformats.org/officeDocument/2006/relationships/ctrlProp" Target="../ctrlProps/ctrlProp19.xml"/><Relationship Id="rId5" Type="http://schemas.openxmlformats.org/officeDocument/2006/relationships/ctrlProp" Target="../ctrlProps/ctrlProp13.xml"/><Relationship Id="rId10" Type="http://schemas.openxmlformats.org/officeDocument/2006/relationships/ctrlProp" Target="../ctrlProps/ctrlProp18.xml"/><Relationship Id="rId4" Type="http://schemas.openxmlformats.org/officeDocument/2006/relationships/ctrlProp" Target="../ctrlProps/ctrlProp12.xml"/><Relationship Id="rId9" Type="http://schemas.openxmlformats.org/officeDocument/2006/relationships/ctrlProp" Target="../ctrlProps/ctrlProp17.xml"/><Relationship Id="rId14" Type="http://schemas.openxmlformats.org/officeDocument/2006/relationships/ctrlProp" Target="../ctrlProps/ctrlProp2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.xml"/><Relationship Id="rId13" Type="http://schemas.openxmlformats.org/officeDocument/2006/relationships/ctrlProp" Target="../ctrlProps/ctrlProp32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26.xml"/><Relationship Id="rId12" Type="http://schemas.openxmlformats.org/officeDocument/2006/relationships/ctrlProp" Target="../ctrlProps/ctrlProp3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25.xml"/><Relationship Id="rId11" Type="http://schemas.openxmlformats.org/officeDocument/2006/relationships/ctrlProp" Target="../ctrlProps/ctrlProp30.xml"/><Relationship Id="rId5" Type="http://schemas.openxmlformats.org/officeDocument/2006/relationships/ctrlProp" Target="../ctrlProps/ctrlProp24.xml"/><Relationship Id="rId10" Type="http://schemas.openxmlformats.org/officeDocument/2006/relationships/ctrlProp" Target="../ctrlProps/ctrlProp29.xml"/><Relationship Id="rId4" Type="http://schemas.openxmlformats.org/officeDocument/2006/relationships/ctrlProp" Target="../ctrlProps/ctrlProp23.xml"/><Relationship Id="rId9" Type="http://schemas.openxmlformats.org/officeDocument/2006/relationships/ctrlProp" Target="../ctrlProps/ctrlProp28.xml"/><Relationship Id="rId14" Type="http://schemas.openxmlformats.org/officeDocument/2006/relationships/ctrlProp" Target="../ctrlProps/ctrlProp3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W134"/>
  <sheetViews>
    <sheetView zoomScale="90" zoomScaleNormal="90" workbookViewId="0">
      <selection activeCell="C1" sqref="C1:D1"/>
    </sheetView>
  </sheetViews>
  <sheetFormatPr defaultColWidth="0" defaultRowHeight="14.25" zeroHeight="1" x14ac:dyDescent="0.25"/>
  <cols>
    <col min="1" max="1" width="2" style="106" customWidth="1"/>
    <col min="2" max="2" width="34.7109375" style="105" customWidth="1"/>
    <col min="3" max="3" width="50.28515625" style="105" customWidth="1"/>
    <col min="4" max="4" width="42" style="105" customWidth="1"/>
    <col min="5" max="5" width="33.140625" style="105" customWidth="1"/>
    <col min="6" max="6" width="63.7109375" style="105" customWidth="1"/>
    <col min="7" max="7" width="5.140625" style="106" customWidth="1"/>
    <col min="8" max="8" width="25.7109375" style="106" customWidth="1"/>
    <col min="9" max="9" width="5.140625" style="106" customWidth="1"/>
    <col min="10" max="11" width="20.7109375" style="105" hidden="1" customWidth="1"/>
    <col min="12" max="12" width="29.28515625" style="105" hidden="1" customWidth="1"/>
    <col min="13" max="13" width="20.7109375" style="105" hidden="1" customWidth="1"/>
    <col min="14" max="14" width="41.42578125" style="105" hidden="1" customWidth="1"/>
    <col min="15" max="23" width="20.7109375" style="105" hidden="1" customWidth="1"/>
    <col min="24" max="16384" width="0.85546875" style="105" hidden="1"/>
  </cols>
  <sheetData>
    <row r="1" spans="2:21" ht="30" customHeight="1" thickBot="1" x14ac:dyDescent="0.3">
      <c r="B1" s="181" t="str">
        <f ca="1">INDIRECT("'"&amp;$H$2&amp;"'!B2")</f>
        <v xml:space="preserve">Запрос на </v>
      </c>
      <c r="C1" s="183" t="s">
        <v>158</v>
      </c>
      <c r="D1" s="183"/>
      <c r="E1" s="106"/>
      <c r="F1" s="106"/>
    </row>
    <row r="2" spans="2:21" ht="30" customHeight="1" x14ac:dyDescent="0.25">
      <c r="B2" s="196" t="str">
        <f ca="1">INDIRECT("'"&amp;$H$2&amp;"'!B3")</f>
        <v>Информация о заказчике</v>
      </c>
      <c r="C2" s="197"/>
      <c r="D2" s="197"/>
      <c r="E2" s="197"/>
      <c r="F2" s="198"/>
      <c r="H2" s="175" t="s">
        <v>59</v>
      </c>
      <c r="J2" s="105" t="str">
        <f ca="1">INDIRECT("'"&amp;$H$2&amp;"'!J3")</f>
        <v>Бытовые</v>
      </c>
      <c r="K2" s="105" t="str">
        <f ca="1">INDIRECT("'"&amp;$H$2&amp;"'!K3")</f>
        <v>AISI 304</v>
      </c>
      <c r="L2" s="105" t="str">
        <f ca="1">INDIRECT("'"&amp;$H$2&amp;"'!L3")</f>
        <v>илоскреб с центральным приводом с неподвижным мостом</v>
      </c>
      <c r="M2" s="105">
        <f ca="1">INDIRECT("'"&amp;$H$2&amp;"'!M3")</f>
        <v>16</v>
      </c>
      <c r="N2" s="105" t="str">
        <f ca="1">INDIRECT("'"&amp;$H$2&amp;"'!N3")</f>
        <v xml:space="preserve">Реконструкция </v>
      </c>
      <c r="O2" s="105" t="str">
        <f ca="1">INDIRECT("'"&amp;$H$2&amp;"'!O3")</f>
        <v>-</v>
      </c>
      <c r="P2" s="105" t="str">
        <f ca="1">INDIRECT("'"&amp;$H$2&amp;"'!P3")</f>
        <v>-</v>
      </c>
      <c r="Q2" s="105" t="str">
        <f ca="1">INDIRECT("'"&amp;$H$2&amp;"'!Q3")</f>
        <v>-</v>
      </c>
      <c r="R2" s="105" t="str">
        <f ca="1">INDIRECT("'"&amp;$H$2&amp;"'!R3")</f>
        <v>Бетон</v>
      </c>
      <c r="S2" s="105" t="str">
        <f ca="1">INDIRECT("'"&amp;$H$2&amp;"'!S3")</f>
        <v>-</v>
      </c>
      <c r="T2" s="105" t="str">
        <f ca="1">INDIRECT("'"&amp;$H$2&amp;"'!T3")</f>
        <v>AISI 304</v>
      </c>
      <c r="U2" s="105" t="str">
        <f ca="1">INDIRECT("'"&amp;$H$2&amp;"'!U3")</f>
        <v>По стандарту ЭКОТОН</v>
      </c>
    </row>
    <row r="3" spans="2:21" ht="15" customHeight="1" x14ac:dyDescent="0.25">
      <c r="B3" s="27" t="str">
        <f ca="1">INDIRECT("'"&amp;$H$2&amp;"'!B4")</f>
        <v>Заказчик</v>
      </c>
      <c r="C3" s="163"/>
      <c r="D3" s="27" t="str">
        <f ca="1">INDIRECT("'"&amp;$H$2&amp;"'!D4")</f>
        <v>Контактное лицо</v>
      </c>
      <c r="E3" s="199"/>
      <c r="F3" s="200"/>
      <c r="H3" s="174" t="str">
        <f ca="1">INDIRECT("'"&amp;$H$2&amp;"'!H4")</f>
        <v>Выберите</v>
      </c>
      <c r="J3" s="105" t="str">
        <f ca="1">INDIRECT("'"&amp;$H$2&amp;"'!J4")</f>
        <v>Промышленные</v>
      </c>
      <c r="K3" s="105" t="str">
        <f ca="1">INDIRECT("'"&amp;$H$2&amp;"'!K4")</f>
        <v>AISI 304L</v>
      </c>
      <c r="L3" s="105" t="str">
        <f ca="1">INDIRECT("'"&amp;$H$2&amp;"'!L4")</f>
        <v>илоскреб с периферийным приводом с вращающимся мостом</v>
      </c>
      <c r="M3" s="105">
        <f ca="1">INDIRECT("'"&amp;$H$2&amp;"'!M4")</f>
        <v>18</v>
      </c>
      <c r="N3" s="105" t="str">
        <f ca="1">INDIRECT("'"&amp;$H$2&amp;"'!N4")</f>
        <v>Новое строительство</v>
      </c>
      <c r="O3" s="105" t="str">
        <f ca="1">INDIRECT("'"&amp;$H$2&amp;"'!O4")</f>
        <v>-</v>
      </c>
      <c r="P3" s="105" t="str">
        <f ca="1">INDIRECT("'"&amp;$H$2&amp;"'!P4")</f>
        <v>-</v>
      </c>
      <c r="Q3" s="105" t="str">
        <f ca="1">INDIRECT("'"&amp;$H$2&amp;"'!Q4")</f>
        <v>-</v>
      </c>
      <c r="R3" s="105" t="str">
        <f ca="1">INDIRECT("'"&amp;$H$2&amp;"'!R4")</f>
        <v>Металл</v>
      </c>
      <c r="S3" s="105" t="str">
        <f ca="1">INDIRECT("'"&amp;$H$2&amp;"'!S4")</f>
        <v>-</v>
      </c>
      <c r="T3" s="105" t="str">
        <f ca="1">INDIRECT("'"&amp;$H$2&amp;"'!T4")</f>
        <v>AISI 304L</v>
      </c>
      <c r="U3" s="105" t="str">
        <f ca="1">INDIRECT("'"&amp;$H$2&amp;"'!U4")</f>
        <v>DIN 19558, тип А</v>
      </c>
    </row>
    <row r="4" spans="2:21" ht="15" customHeight="1" x14ac:dyDescent="0.25">
      <c r="B4" s="27" t="str">
        <f ca="1">INDIRECT("'"&amp;$H$2&amp;"'!B5")</f>
        <v>Наименование объекта</v>
      </c>
      <c r="C4" s="163"/>
      <c r="D4" s="27" t="str">
        <f ca="1">INDIRECT("'"&amp;$H$2&amp;"'!D5")</f>
        <v>Телефон</v>
      </c>
      <c r="E4" s="199"/>
      <c r="F4" s="200"/>
      <c r="H4" s="114" t="str">
        <f ca="1">INDIRECT("'"&amp;$H$2&amp;"'!H5")</f>
        <v>Пожалуйста заполните</v>
      </c>
      <c r="K4" s="105" t="str">
        <f ca="1">INDIRECT("'"&amp;$H$2&amp;"'!K5")</f>
        <v>AISI 316</v>
      </c>
      <c r="L4" s="105" t="str">
        <f ca="1">INDIRECT("'"&amp;$H$2&amp;"'!L5")</f>
        <v>илосос с периферийным приводом с вращающимся мостом</v>
      </c>
      <c r="M4" s="105">
        <f ca="1">INDIRECT("'"&amp;$H$2&amp;"'!M5")</f>
        <v>20</v>
      </c>
      <c r="O4" s="105" t="str">
        <f ca="1">INDIRECT("'"&amp;$H$2&amp;"'!O5")</f>
        <v>-</v>
      </c>
      <c r="P4" s="105" t="str">
        <f ca="1">INDIRECT("'"&amp;$H$2&amp;"'!P5")</f>
        <v>-</v>
      </c>
      <c r="Q4" s="105" t="str">
        <f ca="1">INDIRECT("'"&amp;$H$2&amp;"'!Q5")</f>
        <v>-</v>
      </c>
      <c r="S4" s="105" t="str">
        <f ca="1">INDIRECT("'"&amp;$H$2&amp;"'!S5")</f>
        <v>-</v>
      </c>
      <c r="T4" s="105" t="str">
        <f ca="1">INDIRECT("'"&amp;$H$2&amp;"'!T5")</f>
        <v>AISI 316</v>
      </c>
      <c r="U4" s="105" t="str">
        <f ca="1">INDIRECT("'"&amp;$H$2&amp;"'!U5")</f>
        <v>DIN 19558, тип В</v>
      </c>
    </row>
    <row r="5" spans="2:21" ht="15" customHeight="1" x14ac:dyDescent="0.25">
      <c r="B5" s="27" t="str">
        <f ca="1">INDIRECT("'"&amp;$H$2&amp;"'!B6")</f>
        <v>Страна</v>
      </c>
      <c r="C5" s="163"/>
      <c r="D5" s="27" t="str">
        <f ca="1">INDIRECT("'"&amp;$H$2&amp;"'!D6")</f>
        <v>Email</v>
      </c>
      <c r="E5" s="199"/>
      <c r="F5" s="200"/>
      <c r="K5" s="105" t="str">
        <f ca="1">INDIRECT("'"&amp;$H$2&amp;"'!K6")</f>
        <v>AISI 316L</v>
      </c>
      <c r="M5" s="105">
        <f ca="1">INDIRECT("'"&amp;$H$2&amp;"'!M6")</f>
        <v>24</v>
      </c>
      <c r="N5" s="105" t="str">
        <f ca="1">INDIRECT("'"&amp;$H$2&amp;"'!N6")</f>
        <v>Первичный</v>
      </c>
      <c r="Q5" s="105" t="str">
        <f ca="1">INDIRECT("'"&amp;$H$2&amp;"'!Q6")</f>
        <v>-</v>
      </c>
      <c r="S5" s="105" t="str">
        <f ca="1">INDIRECT("'"&amp;$H$2&amp;"'!S6")</f>
        <v>-</v>
      </c>
      <c r="T5" s="105" t="str">
        <f ca="1">INDIRECT("'"&amp;$H$2&amp;"'!T6")</f>
        <v>AISI 316L</v>
      </c>
      <c r="U5" s="105" t="str">
        <f ca="1">INDIRECT("'"&amp;$H$2&amp;"'!U6")</f>
        <v>Индивидуальное исполнение</v>
      </c>
    </row>
    <row r="6" spans="2:21" ht="15" customHeight="1" thickBot="1" x14ac:dyDescent="0.3">
      <c r="B6" s="27" t="str">
        <f ca="1">INDIRECT("'"&amp;$H$2&amp;"'!B7")</f>
        <v>-</v>
      </c>
      <c r="C6" s="115"/>
      <c r="D6" s="27" t="str">
        <f ca="1">INDIRECT("'"&amp;$H$2&amp;"'!D7")</f>
        <v>Дата заполнения</v>
      </c>
      <c r="E6" s="201"/>
      <c r="F6" s="202"/>
      <c r="K6" s="105" t="str">
        <f ca="1">INDIRECT("'"&amp;$H$2&amp;"'!K7")</f>
        <v>AMg3 (алюминиевый сплав)</v>
      </c>
      <c r="L6" s="105" t="str">
        <f ca="1">INDIRECT("'"&amp;$H$2&amp;"'!L7")</f>
        <v>Да</v>
      </c>
      <c r="M6" s="105">
        <f ca="1">INDIRECT("'"&amp;$H$2&amp;"'!M7")</f>
        <v>28</v>
      </c>
      <c r="N6" s="105" t="str">
        <f ca="1">INDIRECT("'"&amp;$H$2&amp;"'!N7")</f>
        <v>Вторичный</v>
      </c>
      <c r="S6" s="105" t="str">
        <f ca="1">INDIRECT("'"&amp;$H$2&amp;"'!S7")</f>
        <v>-</v>
      </c>
      <c r="T6" s="105" t="str">
        <f ca="1">INDIRECT("'"&amp;$H$2&amp;"'!T7")</f>
        <v>Горячеоцинкованная сталь</v>
      </c>
    </row>
    <row r="7" spans="2:21" ht="30" customHeight="1" x14ac:dyDescent="0.25">
      <c r="B7" s="196" t="str">
        <f ca="1">INDIRECT("'"&amp;$H$2&amp;"'!B8")</f>
        <v>Основная информация</v>
      </c>
      <c r="C7" s="197"/>
      <c r="D7" s="197"/>
      <c r="E7" s="197"/>
      <c r="F7" s="198"/>
      <c r="K7" s="105" t="str">
        <f ca="1">INDIRECT("'"&amp;$H$2&amp;"'!K8")</f>
        <v>Бетон</v>
      </c>
      <c r="L7" s="105" t="str">
        <f ca="1">INDIRECT("'"&amp;$H$2&amp;"'!L8")</f>
        <v>Нет</v>
      </c>
      <c r="M7" s="105">
        <f ca="1">INDIRECT("'"&amp;$H$2&amp;"'!M8")</f>
        <v>30</v>
      </c>
      <c r="N7" s="105" t="str">
        <f ca="1">INDIRECT("'"&amp;$H$2&amp;"'!N8")</f>
        <v>Илоуплотнитель</v>
      </c>
      <c r="R7" s="105" t="str">
        <f ca="1">INDIRECT("'"&amp;$H$2&amp;"'!R8")</f>
        <v>-</v>
      </c>
      <c r="S7" s="105" t="str">
        <f ca="1">INDIRECT("'"&amp;$H$2&amp;"'!S8")</f>
        <v>-</v>
      </c>
      <c r="T7" s="105" t="str">
        <f ca="1">INDIRECT("'"&amp;$H$2&amp;"'!T8")</f>
        <v>Окрашенная конструкционная сталь</v>
      </c>
    </row>
    <row r="8" spans="2:21" ht="15" customHeight="1" x14ac:dyDescent="0.25">
      <c r="B8" s="231" t="str">
        <f ca="1">INDIRECT("'"&amp;$H$2&amp;"'!B9")</f>
        <v>Тип отстойника</v>
      </c>
      <c r="C8" s="237"/>
      <c r="D8" s="165"/>
      <c r="E8" s="108" t="str">
        <f ca="1">INDIRECT("'"&amp;$H$2&amp;"'!E9")</f>
        <v>Материал чаши</v>
      </c>
      <c r="F8" s="166"/>
      <c r="J8" s="107"/>
      <c r="K8" s="106" t="str">
        <f ca="1">INDIRECT("'"&amp;$H$2&amp;"'!K9")</f>
        <v>Окрашенная конструкционная сталь</v>
      </c>
      <c r="L8" s="106"/>
      <c r="M8" s="106">
        <v>33</v>
      </c>
      <c r="N8" s="106" t="str">
        <f ca="1">INDIRECT("'"&amp;$H$2&amp;"'!N9")</f>
        <v>AISI 304</v>
      </c>
      <c r="O8" s="106"/>
      <c r="Q8" s="105" t="str">
        <f ca="1">INDIRECT("'"&amp;$H$2&amp;"'!Q9")</f>
        <v>Стальное колесо с полиуретановым покрытием</v>
      </c>
      <c r="R8" s="105" t="str">
        <f ca="1">INDIRECT("'"&amp;$H$2&amp;"'!R9")</f>
        <v>-</v>
      </c>
      <c r="T8" s="105" t="str">
        <f ca="1">INDIRECT("'"&amp;$H$2&amp;"'!T9")</f>
        <v>AMg3 (алюминиевый сплав)</v>
      </c>
    </row>
    <row r="9" spans="2:21" ht="15" customHeight="1" x14ac:dyDescent="0.25">
      <c r="B9" s="231" t="str">
        <f ca="1">INDIRECT("'"&amp;$H$2&amp;"'!B10")</f>
        <v>Диаметр отстойника, м</v>
      </c>
      <c r="C9" s="237"/>
      <c r="D9" s="165"/>
      <c r="E9" s="199"/>
      <c r="F9" s="200"/>
      <c r="J9" s="107"/>
      <c r="K9" s="106" t="str">
        <f ca="1">INDIRECT("'"&amp;$H$2&amp;"'!K10")</f>
        <v>Другое (указать)</v>
      </c>
      <c r="L9" s="106"/>
      <c r="M9" s="106">
        <v>40</v>
      </c>
      <c r="N9" s="106" t="str">
        <f ca="1">INDIRECT("'"&amp;$H$2&amp;"'!N10")</f>
        <v>AISI 304L</v>
      </c>
      <c r="O9" s="106" t="str">
        <f ca="1">INDIRECT("'"&amp;$H$2&amp;"'!O10")</f>
        <v>Требуется</v>
      </c>
      <c r="P9" s="105" t="str">
        <f ca="1">INDIRECT("'"&amp;$H$2&amp;"'!P10")</f>
        <v>Требуется</v>
      </c>
      <c r="Q9" s="105" t="str">
        <f ca="1">INDIRECT("'"&amp;$H$2&amp;"'!Q10")</f>
        <v>Стальное колесо с пневматической шиной</v>
      </c>
      <c r="R9" s="105" t="str">
        <f ca="1">INDIRECT("'"&amp;$H$2&amp;"'!R10")</f>
        <v>-</v>
      </c>
      <c r="T9" s="105" t="str">
        <f ca="1">INDIRECT("'"&amp;$H$2&amp;"'!T10")</f>
        <v>Другое (указать)</v>
      </c>
    </row>
    <row r="10" spans="2:21" ht="15" customHeight="1" x14ac:dyDescent="0.25">
      <c r="B10" s="203" t="str">
        <f ca="1">INDIRECT("'"&amp;$H$2&amp;"'!B11")</f>
        <v>Тип сточных вод</v>
      </c>
      <c r="C10" s="237"/>
      <c r="D10" s="230"/>
      <c r="E10" s="108" t="str">
        <f ca="1">INDIRECT("'"&amp;$H$2&amp;"'!E11")</f>
        <v>Вид промышленности</v>
      </c>
      <c r="F10" s="163"/>
      <c r="J10" s="105" t="str">
        <f ca="1">INDIRECT("'"&amp;$H$2&amp;"'!J11")</f>
        <v>Да</v>
      </c>
      <c r="K10" s="105" t="str">
        <f ca="1">INDIRECT("'"&amp;$H$2&amp;"'!K11")</f>
        <v>Наружное</v>
      </c>
      <c r="L10" s="105" t="str">
        <f ca="1">INDIRECT("'"&amp;$H$2&amp;"'!L11")</f>
        <v>Задний привод</v>
      </c>
      <c r="M10" s="105">
        <f ca="1">INDIRECT("'"&amp;$H$2&amp;"'!M11")</f>
        <v>50</v>
      </c>
      <c r="N10" s="105" t="str">
        <f ca="1">INDIRECT("'"&amp;$H$2&amp;"'!N11")</f>
        <v>AISI 316</v>
      </c>
      <c r="O10" s="105" t="str">
        <f ca="1">INDIRECT("'"&amp;$H$2&amp;"'!O11")</f>
        <v>Не требуется</v>
      </c>
      <c r="P10" s="105" t="str">
        <f ca="1">INDIRECT("'"&amp;$H$2&amp;"'!P11")</f>
        <v>Не требуется</v>
      </c>
      <c r="Q10" s="105" t="str">
        <f ca="1">INDIRECT("'"&amp;$H$2&amp;"'!Q11")</f>
        <v>Стальное колесо с цельнолитой резиновой шиной</v>
      </c>
      <c r="R10" s="105" t="str">
        <f ca="1">INDIRECT("'"&amp;$H$2&amp;"'!R11")</f>
        <v>-</v>
      </c>
      <c r="S10" s="105" t="str">
        <f ca="1">INDIRECT("'"&amp;$H$2&amp;"'!S11")</f>
        <v>-</v>
      </c>
    </row>
    <row r="11" spans="2:21" ht="30" customHeight="1" x14ac:dyDescent="0.25">
      <c r="B11" s="203"/>
      <c r="C11" s="237"/>
      <c r="D11" s="230"/>
      <c r="E11" s="110" t="str">
        <f ca="1">INDIRECT("'"&amp;$H$2&amp;"'!E12")</f>
        <v>Уточните источник образования стоков</v>
      </c>
      <c r="F11" s="163"/>
      <c r="J11" s="106" t="str">
        <f ca="1">INDIRECT("'"&amp;$H$2&amp;"'!J12")</f>
        <v>Нет</v>
      </c>
      <c r="K11" s="106" t="str">
        <f ca="1">INDIRECT("'"&amp;$H$2&amp;"'!K12")</f>
        <v>В помещении</v>
      </c>
      <c r="L11" s="106" t="str">
        <f ca="1">INDIRECT("'"&amp;$H$2&amp;"'!L12")</f>
        <v>Полный привод</v>
      </c>
      <c r="M11" s="106">
        <f ca="1">INDIRECT("'"&amp;$H$2&amp;"'!M12")</f>
        <v>54</v>
      </c>
      <c r="N11" s="105" t="str">
        <f ca="1">INDIRECT("'"&amp;$H$2&amp;"'!N12")</f>
        <v>AISI 316L</v>
      </c>
      <c r="O11" s="106"/>
      <c r="P11" s="105" t="str">
        <f ca="1">INDIRECT("'"&amp;$H$2&amp;"'!P12")</f>
        <v xml:space="preserve">Существует </v>
      </c>
      <c r="Q11" s="105" t="str">
        <f ca="1">INDIRECT("'"&amp;$H$2&amp;"'!Q12")</f>
        <v>Стальное колесо</v>
      </c>
      <c r="R11" s="105" t="str">
        <f ca="1">INDIRECT("'"&amp;$H$2&amp;"'!R12")</f>
        <v>-</v>
      </c>
      <c r="S11" s="105" t="str">
        <f ca="1">INDIRECT("'"&amp;$H$2&amp;"'!S12")</f>
        <v>-</v>
      </c>
    </row>
    <row r="12" spans="2:21" ht="15" customHeight="1" x14ac:dyDescent="0.25">
      <c r="B12" s="231" t="str">
        <f ca="1">INDIRECT("'"&amp;$H$2&amp;"'!B13")</f>
        <v xml:space="preserve">Характеристики сточных вод </v>
      </c>
      <c r="C12" s="176" t="str">
        <f ca="1">INDIRECT("'"&amp;$H$2&amp;"'!C13")</f>
        <v>Уровень pH</v>
      </c>
      <c r="D12" s="235"/>
      <c r="E12" s="235"/>
      <c r="F12" s="236"/>
      <c r="J12" s="107"/>
      <c r="K12" s="106"/>
      <c r="L12" s="106" t="str">
        <f ca="1">INDIRECT("'"&amp;$H$2&amp;"'!L13")</f>
        <v>Передний привод</v>
      </c>
      <c r="M12" s="106" t="str">
        <f ca="1">INDIRECT("'"&amp;$H$2&amp;"'!M13")</f>
        <v>Другое (указать)</v>
      </c>
      <c r="N12" s="106" t="str">
        <f ca="1">INDIRECT("'"&amp;$H$2&amp;"'!N13")</f>
        <v>Окрашенная конструкционная сталь</v>
      </c>
      <c r="O12" s="106" t="str">
        <f ca="1">INDIRECT("'"&amp;$H$2&amp;"'!O13")</f>
        <v>-</v>
      </c>
      <c r="Q12" s="105" t="str">
        <f ca="1">INDIRECT("'"&amp;$H$2&amp;"'!Q13")</f>
        <v>Сверху</v>
      </c>
      <c r="S12" s="105" t="str">
        <f ca="1">INDIRECT("'"&amp;$H$2&amp;"'!S13")</f>
        <v>-</v>
      </c>
    </row>
    <row r="13" spans="2:21" ht="15" customHeight="1" x14ac:dyDescent="0.25">
      <c r="B13" s="231"/>
      <c r="C13" s="176" t="str">
        <f ca="1">INDIRECT("'"&amp;$H$2&amp;"'!C14")</f>
        <v>Хлориды, мг/л</v>
      </c>
      <c r="D13" s="235"/>
      <c r="E13" s="235"/>
      <c r="F13" s="236"/>
      <c r="J13" s="107"/>
      <c r="K13" s="106"/>
      <c r="L13" s="106"/>
      <c r="M13" s="106"/>
      <c r="N13" s="106" t="str">
        <f ca="1">INDIRECT("'"&amp;$H$2&amp;"'!N14")</f>
        <v>Другое (указать)</v>
      </c>
      <c r="O13" s="106" t="str">
        <f ca="1">INDIRECT("'"&amp;$H$2&amp;"'!O14")</f>
        <v>-</v>
      </c>
      <c r="Q13" s="105" t="str">
        <f ca="1">INDIRECT("'"&amp;$H$2&amp;"'!Q14")</f>
        <v>Снизу</v>
      </c>
      <c r="S13" s="105" t="str">
        <f ca="1">INDIRECT("'"&amp;$H$2&amp;"'!S14")</f>
        <v>-</v>
      </c>
    </row>
    <row r="14" spans="2:21" ht="15" customHeight="1" x14ac:dyDescent="0.25">
      <c r="B14" s="231"/>
      <c r="C14" s="176"/>
      <c r="D14" s="235"/>
      <c r="E14" s="235"/>
      <c r="F14" s="236"/>
      <c r="J14" s="106"/>
      <c r="K14" s="106" t="str">
        <f ca="1">INDIRECT("'"&amp;$H$2&amp;"'!K15")</f>
        <v>-</v>
      </c>
      <c r="L14" s="106"/>
      <c r="M14" s="106"/>
      <c r="N14" s="107"/>
      <c r="O14" s="106" t="str">
        <f ca="1">INDIRECT("'"&amp;$H$2&amp;"'!O15")</f>
        <v>-</v>
      </c>
      <c r="S14" s="105" t="str">
        <f ca="1">INDIRECT("'"&amp;$H$2&amp;"'!S15")</f>
        <v>-</v>
      </c>
    </row>
    <row r="15" spans="2:21" ht="15" customHeight="1" x14ac:dyDescent="0.25">
      <c r="B15" s="231"/>
      <c r="C15" s="176"/>
      <c r="D15" s="235"/>
      <c r="E15" s="235"/>
      <c r="F15" s="236"/>
      <c r="J15" s="106"/>
      <c r="K15" s="106" t="str">
        <f ca="1">INDIRECT("'"&amp;$H$2&amp;"'!K16")</f>
        <v>-</v>
      </c>
      <c r="L15" s="106"/>
      <c r="M15" s="106"/>
      <c r="N15" s="107"/>
      <c r="O15" s="106"/>
    </row>
    <row r="16" spans="2:21" ht="15" customHeight="1" x14ac:dyDescent="0.25">
      <c r="B16" s="210" t="str">
        <f ca="1">INDIRECT("'"&amp;$H$2&amp;"'!B17")</f>
        <v>Тип строительства</v>
      </c>
      <c r="C16" s="211"/>
      <c r="D16" s="207"/>
      <c r="E16" s="207"/>
      <c r="F16" s="188"/>
      <c r="J16" s="106"/>
      <c r="K16" s="106"/>
      <c r="L16" s="106"/>
      <c r="M16" s="106"/>
      <c r="N16" s="107"/>
      <c r="O16" s="106"/>
    </row>
    <row r="17" spans="2:15" ht="15" customHeight="1" x14ac:dyDescent="0.25">
      <c r="B17" s="194" t="str">
        <f ca="1">INDIRECT("'"&amp;$H$2&amp;"'!B18")</f>
        <v>Наличие типового проекта</v>
      </c>
      <c r="C17" s="211"/>
      <c r="D17" s="168"/>
      <c r="E17" s="160" t="str">
        <f ca="1">INDIRECT("'"&amp;$H$2&amp;"'!E18")</f>
        <v>-</v>
      </c>
      <c r="F17" s="155"/>
      <c r="J17" s="106"/>
      <c r="K17" s="117"/>
      <c r="L17" s="117"/>
      <c r="M17" s="117"/>
      <c r="N17" s="117"/>
      <c r="O17" s="106"/>
    </row>
    <row r="18" spans="2:15" ht="15" customHeight="1" x14ac:dyDescent="0.25">
      <c r="B18" s="210" t="str">
        <f ca="1">INDIRECT("'"&amp;$H$2&amp;"'!B19")</f>
        <v xml:space="preserve">Приводная тележка </v>
      </c>
      <c r="C18" s="211"/>
      <c r="D18" s="169"/>
      <c r="E18" s="108" t="str">
        <f ca="1">INDIRECT("'"&amp;$H$2&amp;"'!E19")</f>
        <v>Мотор редуктор</v>
      </c>
      <c r="F18" s="167"/>
      <c r="J18" s="106"/>
      <c r="K18" s="117"/>
      <c r="L18" s="117"/>
      <c r="M18" s="106" t="str">
        <f ca="1">INDIRECT("'"&amp;$H$2&amp;"'!M19")</f>
        <v>Монтируемый вал</v>
      </c>
      <c r="N18" s="117"/>
      <c r="O18" s="106"/>
    </row>
    <row r="19" spans="2:15" ht="15" customHeight="1" x14ac:dyDescent="0.25">
      <c r="B19" s="210" t="str">
        <f ca="1">INDIRECT("'"&amp;$H$2&amp;"'!B20")</f>
        <v>Движение тележки</v>
      </c>
      <c r="C19" s="211"/>
      <c r="D19" s="169"/>
      <c r="E19" s="108" t="str">
        <f ca="1">INDIRECT("'"&amp;$H$2&amp;"'!E20")</f>
        <v>Тип колеса</v>
      </c>
      <c r="F19" s="167"/>
      <c r="J19" s="106" t="str">
        <f ca="1">INDIRECT("'"&amp;$H$2&amp;"'!J20")</f>
        <v>-</v>
      </c>
      <c r="K19" s="117" t="str">
        <f ca="1">INDIRECT("'"&amp;$H$2&amp;"'!K20")</f>
        <v>-</v>
      </c>
      <c r="L19" s="108" t="str">
        <f ca="1">INDIRECT("'"&amp;$H$2&amp;"'!L20")</f>
        <v>-</v>
      </c>
      <c r="M19" s="106" t="str">
        <f ca="1">INDIRECT("'"&amp;$H$2&amp;"'!M20")</f>
        <v>Мотор-колесо</v>
      </c>
      <c r="N19" s="117"/>
      <c r="O19" s="106"/>
    </row>
    <row r="20" spans="2:15" ht="15" customHeight="1" x14ac:dyDescent="0.25">
      <c r="B20" s="194" t="str">
        <f ca="1">INDIRECT("'"&amp;$H$2&amp;"'!B21")</f>
        <v xml:space="preserve">Материал моста </v>
      </c>
      <c r="C20" s="211"/>
      <c r="D20" s="165"/>
      <c r="E20" s="240"/>
      <c r="F20" s="241"/>
      <c r="J20" s="106" t="str">
        <f ca="1">INDIRECT("'"&amp;$H$2&amp;"'!J21")</f>
        <v>-</v>
      </c>
      <c r="K20" s="117" t="str">
        <f ca="1">INDIRECT("'"&amp;$H$2&amp;"'!K21")</f>
        <v>-</v>
      </c>
      <c r="L20" s="108" t="str">
        <f ca="1">INDIRECT("'"&amp;$H$2&amp;"'!L21")</f>
        <v>-</v>
      </c>
      <c r="M20" s="106" t="str">
        <f ca="1">INDIRECT("'"&amp;$H$2&amp;"'!M21")</f>
        <v>Движение по борту емкости</v>
      </c>
      <c r="N20" s="117"/>
      <c r="O20" s="106"/>
    </row>
    <row r="21" spans="2:15" ht="17.25" customHeight="1" x14ac:dyDescent="0.25">
      <c r="B21" s="203" t="str">
        <f ca="1">INDIRECT("'"&amp;$H$2&amp;"'!B22")</f>
        <v>Дополнительное оборудование *</v>
      </c>
      <c r="C21" s="177" t="str">
        <f ca="1">INDIRECT("'"&amp;$H$2&amp;"'!C22")</f>
        <v>Дефлектор</v>
      </c>
      <c r="D21" s="207"/>
      <c r="E21" s="207"/>
      <c r="F21" s="188"/>
      <c r="J21" s="106" t="str">
        <f ca="1">INDIRECT("'"&amp;$H$2&amp;"'!J22")</f>
        <v>-</v>
      </c>
      <c r="K21" s="117" t="str">
        <f ca="1">INDIRECT("'"&amp;$H$2&amp;"'!K22")</f>
        <v>-</v>
      </c>
      <c r="L21" s="108" t="str">
        <f ca="1">INDIRECT("'"&amp;$H$2&amp;"'!L22")</f>
        <v>-</v>
      </c>
      <c r="M21" s="117" t="str">
        <f ca="1">INDIRECT("'"&amp;$H$2&amp;"'!M22")</f>
        <v>Движение по рельсу</v>
      </c>
      <c r="N21" s="117"/>
      <c r="O21" s="106"/>
    </row>
    <row r="22" spans="2:15" ht="17.25" customHeight="1" x14ac:dyDescent="0.25">
      <c r="B22" s="203"/>
      <c r="C22" s="177" t="str">
        <f ca="1">INDIRECT("'"&amp;$H$2&amp;"'!C23")</f>
        <v>Подающая труба</v>
      </c>
      <c r="D22" s="207"/>
      <c r="E22" s="207"/>
      <c r="F22" s="188"/>
      <c r="J22" s="106" t="str">
        <f ca="1">INDIRECT("'"&amp;$H$2&amp;"'!J23")</f>
        <v>-</v>
      </c>
      <c r="K22" s="117" t="str">
        <f ca="1">INDIRECT("'"&amp;$H$2&amp;"'!K23")</f>
        <v>-</v>
      </c>
      <c r="L22" s="108" t="str">
        <f ca="1">INDIRECT("'"&amp;$H$2&amp;"'!L23")</f>
        <v>-</v>
      </c>
      <c r="M22" s="117"/>
      <c r="N22" s="117"/>
      <c r="O22" s="106"/>
    </row>
    <row r="23" spans="2:15" ht="17.25" customHeight="1" x14ac:dyDescent="0.25">
      <c r="B23" s="203"/>
      <c r="C23" s="177" t="str">
        <f ca="1">INDIRECT("'"&amp;$H$2&amp;"'!C24")</f>
        <v>Система сбора плавающих</v>
      </c>
      <c r="D23" s="207"/>
      <c r="E23" s="207"/>
      <c r="F23" s="188"/>
      <c r="J23" s="106" t="str">
        <f ca="1">INDIRECT("'"&amp;$H$2&amp;"'!J24")</f>
        <v>-</v>
      </c>
      <c r="K23" s="117" t="str">
        <f ca="1">INDIRECT("'"&amp;$H$2&amp;"'!K24")</f>
        <v>-</v>
      </c>
      <c r="L23" s="108" t="str">
        <f ca="1">INDIRECT("'"&amp;$H$2&amp;"'!L24")</f>
        <v>-</v>
      </c>
      <c r="M23" s="117"/>
      <c r="N23" s="117"/>
      <c r="O23" s="106"/>
    </row>
    <row r="24" spans="2:15" ht="17.25" customHeight="1" x14ac:dyDescent="0.25">
      <c r="B24" s="203"/>
      <c r="C24" s="176" t="str">
        <f ca="1">INDIRECT("'"&amp;$H$2&amp;"'!C25")</f>
        <v>Лоток для сбора осветленной воды</v>
      </c>
      <c r="D24" s="207"/>
      <c r="E24" s="207"/>
      <c r="F24" s="188"/>
      <c r="J24" s="106" t="str">
        <f ca="1">INDIRECT("'"&amp;$H$2&amp;"'!J25")</f>
        <v>-</v>
      </c>
      <c r="K24" s="117" t="str">
        <f ca="1">INDIRECT("'"&amp;$H$2&amp;"'!K25")</f>
        <v>-</v>
      </c>
      <c r="L24" s="117"/>
      <c r="M24" s="117"/>
      <c r="N24" s="117"/>
      <c r="O24" s="106"/>
    </row>
    <row r="25" spans="2:15" ht="17.25" customHeight="1" x14ac:dyDescent="0.25">
      <c r="B25" s="203"/>
      <c r="C25" s="176" t="str">
        <f ca="1">INDIRECT("'"&amp;$H$2&amp;"'!C26")</f>
        <v>Перелив зубчатый</v>
      </c>
      <c r="D25" s="207"/>
      <c r="E25" s="207"/>
      <c r="F25" s="188"/>
      <c r="J25" s="106"/>
      <c r="K25" s="117"/>
      <c r="L25" s="117"/>
      <c r="M25" s="117"/>
      <c r="N25" s="117"/>
      <c r="O25" s="106"/>
    </row>
    <row r="26" spans="2:15" ht="17.25" customHeight="1" x14ac:dyDescent="0.25">
      <c r="B26" s="203"/>
      <c r="C26" s="176" t="str">
        <f ca="1">INDIRECT("'"&amp;$H$2&amp;"'!C27")</f>
        <v>Полупогружная доска</v>
      </c>
      <c r="D26" s="207"/>
      <c r="E26" s="207"/>
      <c r="F26" s="188"/>
      <c r="J26" s="106"/>
      <c r="K26" s="117"/>
      <c r="L26" s="117"/>
      <c r="M26" s="117"/>
      <c r="N26" s="117"/>
      <c r="O26" s="106"/>
    </row>
    <row r="27" spans="2:15" ht="17.25" customHeight="1" x14ac:dyDescent="0.25">
      <c r="B27" s="203"/>
      <c r="C27" s="176" t="str">
        <f ca="1">INDIRECT("'"&amp;$H$2&amp;"'!C28")</f>
        <v>Очиститель дорожки</v>
      </c>
      <c r="D27" s="207"/>
      <c r="E27" s="207"/>
      <c r="F27" s="188"/>
      <c r="J27" s="106"/>
      <c r="K27" s="117"/>
      <c r="L27" s="117"/>
      <c r="M27" s="117"/>
      <c r="N27" s="117"/>
      <c r="O27" s="106"/>
    </row>
    <row r="28" spans="2:15" ht="17.25" customHeight="1" x14ac:dyDescent="0.25">
      <c r="B28" s="204"/>
      <c r="C28" s="178" t="str">
        <f ca="1">INDIRECT("'"&amp;$H$2&amp;"'!C29")</f>
        <v>Кромкоочиститель</v>
      </c>
      <c r="D28" s="206"/>
      <c r="E28" s="207"/>
      <c r="F28" s="188"/>
      <c r="J28" s="106"/>
      <c r="K28" s="106"/>
      <c r="L28" s="106"/>
      <c r="M28" s="106"/>
      <c r="N28" s="106"/>
      <c r="O28" s="106"/>
    </row>
    <row r="29" spans="2:15" ht="17.25" customHeight="1" thickBot="1" x14ac:dyDescent="0.3">
      <c r="B29" s="205"/>
      <c r="C29" s="179" t="str">
        <f ca="1">INDIRECT("'"&amp;$H$2&amp;"'!C30")</f>
        <v>Освещение моста</v>
      </c>
      <c r="D29" s="250"/>
      <c r="E29" s="250"/>
      <c r="F29" s="251"/>
      <c r="J29" s="106"/>
      <c r="K29" s="106"/>
      <c r="L29" s="106"/>
      <c r="M29" s="106"/>
      <c r="N29" s="106"/>
      <c r="O29" s="106"/>
    </row>
    <row r="30" spans="2:15" ht="29.25" customHeight="1" x14ac:dyDescent="0.25">
      <c r="B30" s="242" t="str">
        <f ca="1">INDIRECT("'"&amp;$H$2&amp;"'!B31")</f>
        <v>Автоматизация</v>
      </c>
      <c r="C30" s="243"/>
      <c r="D30" s="244"/>
      <c r="E30" s="244"/>
      <c r="F30" s="245"/>
      <c r="J30" s="106"/>
      <c r="K30" s="109"/>
      <c r="L30" s="109"/>
      <c r="M30" s="106"/>
      <c r="N30" s="106"/>
      <c r="O30" s="106"/>
    </row>
    <row r="31" spans="2:15" ht="15" customHeight="1" x14ac:dyDescent="0.25">
      <c r="B31" s="210" t="str">
        <f ca="1">INDIRECT("'"&amp;$H$2&amp;"'!B32")</f>
        <v>Шкаф управления</v>
      </c>
      <c r="C31" s="211"/>
      <c r="D31" s="212"/>
      <c r="E31" s="213"/>
      <c r="F31" s="214"/>
      <c r="J31" s="106"/>
      <c r="K31" s="106"/>
      <c r="L31" s="106"/>
      <c r="M31" s="106"/>
      <c r="N31" s="106"/>
      <c r="O31" s="106"/>
    </row>
    <row r="32" spans="2:15" ht="15" customHeight="1" x14ac:dyDescent="0.25">
      <c r="B32" s="210" t="str">
        <f ca="1">INDIRECT("'"&amp;$H$2&amp;"'!B33")</f>
        <v>Расположение шкафа управления</v>
      </c>
      <c r="C32" s="211"/>
      <c r="D32" s="170"/>
      <c r="E32" s="208" t="str">
        <f ca="1">INDIRECT("'"&amp;$H$2&amp;"'!E33")</f>
        <v xml:space="preserve"> </v>
      </c>
      <c r="F32" s="209"/>
      <c r="J32" s="106"/>
      <c r="K32" s="106"/>
      <c r="L32" s="106"/>
      <c r="M32" s="106"/>
      <c r="N32" s="106"/>
      <c r="O32" s="106"/>
    </row>
    <row r="33" spans="2:15" ht="15" customHeight="1" x14ac:dyDescent="0.25">
      <c r="B33" s="231" t="str">
        <f ca="1">INDIRECT("'"&amp;$H$2&amp;"'!B34")</f>
        <v>Приводы **</v>
      </c>
      <c r="C33" s="177" t="str">
        <f ca="1">INDIRECT("'"&amp;$H$2&amp;"'!C34")</f>
        <v>Исполнение (IP)</v>
      </c>
      <c r="D33" s="232"/>
      <c r="E33" s="233"/>
      <c r="F33" s="234"/>
      <c r="J33" s="106"/>
      <c r="K33" s="106"/>
      <c r="L33" s="106"/>
      <c r="M33" s="106"/>
      <c r="N33" s="106"/>
      <c r="O33" s="106"/>
    </row>
    <row r="34" spans="2:15" ht="30" customHeight="1" x14ac:dyDescent="0.25">
      <c r="B34" s="203"/>
      <c r="C34" s="180" t="str">
        <f ca="1">INDIRECT("'"&amp;$H$2&amp;"'!C35")</f>
        <v>Требования по взрывозащите (EX): класс/зона (указать ГОСТ, IEC или иное)</v>
      </c>
      <c r="D34" s="232"/>
      <c r="E34" s="233"/>
      <c r="F34" s="234"/>
      <c r="J34" s="106"/>
      <c r="K34" s="106"/>
      <c r="L34" s="106"/>
      <c r="M34" s="106"/>
      <c r="N34" s="106"/>
      <c r="O34" s="106"/>
    </row>
    <row r="35" spans="2:15" ht="15" customHeight="1" thickBot="1" x14ac:dyDescent="0.3">
      <c r="B35" s="225"/>
      <c r="C35" s="226"/>
      <c r="D35" s="227"/>
      <c r="E35" s="228"/>
      <c r="F35" s="229"/>
      <c r="J35" s="106"/>
      <c r="K35" s="106"/>
      <c r="L35" s="106"/>
      <c r="M35" s="106"/>
      <c r="N35" s="106"/>
      <c r="O35" s="106"/>
    </row>
    <row r="36" spans="2:15" ht="30" customHeight="1" x14ac:dyDescent="0.25">
      <c r="B36" s="215" t="str">
        <f ca="1">INDIRECT("'"&amp;$H$2&amp;"'!B37")</f>
        <v>Другая важная информация</v>
      </c>
      <c r="C36" s="216"/>
      <c r="D36" s="219"/>
      <c r="E36" s="220"/>
      <c r="F36" s="221"/>
      <c r="J36" s="106"/>
      <c r="K36" s="106"/>
      <c r="L36" s="106"/>
      <c r="M36" s="106"/>
      <c r="N36" s="106"/>
      <c r="O36" s="106"/>
    </row>
    <row r="37" spans="2:15" ht="30" customHeight="1" thickBot="1" x14ac:dyDescent="0.3">
      <c r="B37" s="217"/>
      <c r="C37" s="218"/>
      <c r="D37" s="222"/>
      <c r="E37" s="223"/>
      <c r="F37" s="224"/>
      <c r="J37" s="106"/>
      <c r="K37" s="106"/>
      <c r="L37" s="106"/>
      <c r="M37" s="106"/>
      <c r="N37" s="106"/>
      <c r="O37" s="106"/>
    </row>
    <row r="38" spans="2:15" s="106" customFormat="1" ht="15" customHeight="1" x14ac:dyDescent="0.25">
      <c r="B38" s="158" t="str">
        <f ca="1">INDIRECT("'"&amp;$H$2&amp;"'!B39")</f>
        <v>* Более подробная информация по дополнительному оборудованию указана ниже.</v>
      </c>
      <c r="D38" s="158"/>
    </row>
    <row r="39" spans="2:15" ht="15" customHeight="1" x14ac:dyDescent="0.25">
      <c r="B39" s="158" t="str">
        <f ca="1">INDIRECT("'"&amp;$H$2&amp;"'!B40")</f>
        <v>** Регулировка скорости движения - от частотного преобразователя.</v>
      </c>
      <c r="C39" s="106"/>
      <c r="D39" s="158"/>
      <c r="E39" s="106"/>
      <c r="F39" s="106"/>
      <c r="J39" s="109"/>
      <c r="K39" s="106"/>
      <c r="L39" s="106"/>
      <c r="M39" s="106"/>
      <c r="N39" s="106"/>
      <c r="O39" s="106"/>
    </row>
    <row r="40" spans="2:15" ht="15" customHeight="1" x14ac:dyDescent="0.25">
      <c r="B40" s="158" t="str">
        <f ca="1">INDIRECT("'"&amp;$H$2&amp;"'!B41")</f>
        <v>*** Пожалуйста приложите чертежи и другие исходные данные к опросному листу, а также заполните вкладку Drawings. Это ускорит наш ответ.</v>
      </c>
      <c r="C40" s="106"/>
      <c r="D40" s="106"/>
      <c r="E40" s="106"/>
      <c r="F40" s="106"/>
      <c r="J40" s="109"/>
      <c r="K40" s="106"/>
      <c r="L40" s="106"/>
      <c r="M40" s="106"/>
      <c r="N40" s="106"/>
      <c r="O40" s="106"/>
    </row>
    <row r="41" spans="2:15" ht="15" customHeight="1" x14ac:dyDescent="0.25">
      <c r="B41" s="158"/>
      <c r="C41" s="106"/>
      <c r="D41" s="106"/>
      <c r="E41" s="106"/>
      <c r="F41" s="106"/>
      <c r="J41" s="109"/>
      <c r="K41" s="106"/>
      <c r="L41" s="106"/>
      <c r="M41" s="106"/>
      <c r="N41" s="106"/>
      <c r="O41" s="106"/>
    </row>
    <row r="42" spans="2:15" ht="15" customHeight="1" thickBot="1" x14ac:dyDescent="0.3">
      <c r="B42" s="106"/>
      <c r="C42" s="106"/>
      <c r="D42" s="106"/>
      <c r="E42" s="106"/>
      <c r="F42" s="106"/>
      <c r="J42" s="106"/>
      <c r="K42" s="106"/>
      <c r="L42" s="106"/>
      <c r="M42" s="106"/>
      <c r="N42" s="106"/>
      <c r="O42" s="106"/>
    </row>
    <row r="43" spans="2:15" ht="15" customHeight="1" x14ac:dyDescent="0.25">
      <c r="B43" s="191" t="str">
        <f ca="1">INDIRECT("'"&amp;$H$2&amp;"'!B44")</f>
        <v>-</v>
      </c>
      <c r="C43" s="192"/>
      <c r="D43" s="192"/>
      <c r="E43" s="193"/>
      <c r="F43" s="106"/>
      <c r="J43" s="106"/>
      <c r="K43" s="106"/>
      <c r="L43" s="106"/>
      <c r="M43" s="106"/>
      <c r="N43" s="106"/>
      <c r="O43" s="106"/>
    </row>
    <row r="44" spans="2:15" ht="15" customHeight="1" x14ac:dyDescent="0.2">
      <c r="B44" s="111" t="str">
        <f ca="1">INDIRECT("'"&amp;$H$2&amp;"'!B45")</f>
        <v>-</v>
      </c>
      <c r="C44" s="246"/>
      <c r="D44" s="246"/>
      <c r="E44" s="247"/>
      <c r="F44" s="106"/>
      <c r="J44" s="106"/>
      <c r="K44" s="106"/>
      <c r="L44" s="106"/>
      <c r="M44" s="106"/>
      <c r="N44" s="106"/>
      <c r="O44" s="106"/>
    </row>
    <row r="45" spans="2:15" ht="15" customHeight="1" x14ac:dyDescent="0.2">
      <c r="B45" s="111" t="str">
        <f ca="1">INDIRECT("'"&amp;$H$2&amp;"'!B46")</f>
        <v>-</v>
      </c>
      <c r="C45" s="246"/>
      <c r="D45" s="246"/>
      <c r="E45" s="247"/>
      <c r="F45" s="106"/>
      <c r="J45" s="113"/>
      <c r="K45" s="106"/>
      <c r="L45" s="106"/>
      <c r="M45" s="106"/>
      <c r="N45" s="106"/>
      <c r="O45" s="106"/>
    </row>
    <row r="46" spans="2:15" ht="15" customHeight="1" thickBot="1" x14ac:dyDescent="0.25">
      <c r="B46" s="159" t="str">
        <f ca="1">INDIRECT("'"&amp;$H$2&amp;"'!B47")</f>
        <v>-</v>
      </c>
      <c r="C46" s="171"/>
      <c r="D46" s="248"/>
      <c r="E46" s="249"/>
      <c r="F46" s="106"/>
      <c r="J46" s="106"/>
      <c r="K46" s="106"/>
      <c r="L46" s="106"/>
      <c r="M46" s="106"/>
      <c r="N46" s="106"/>
      <c r="O46" s="106"/>
    </row>
    <row r="47" spans="2:15" ht="15" customHeight="1" thickBot="1" x14ac:dyDescent="0.3">
      <c r="B47" s="106"/>
      <c r="C47" s="106"/>
      <c r="D47" s="106"/>
      <c r="E47" s="106"/>
      <c r="F47" s="106"/>
      <c r="J47" s="106"/>
      <c r="K47" s="106"/>
      <c r="L47" s="106"/>
      <c r="M47" s="106"/>
      <c r="N47" s="106"/>
      <c r="O47" s="106"/>
    </row>
    <row r="48" spans="2:15" ht="15" customHeight="1" x14ac:dyDescent="0.25">
      <c r="B48" s="191" t="str">
        <f ca="1">INDIRECT("'"&amp;$H$2&amp;"'!B49")</f>
        <v>-</v>
      </c>
      <c r="C48" s="192"/>
      <c r="D48" s="192"/>
      <c r="E48" s="193"/>
      <c r="F48" s="106"/>
      <c r="J48" s="106"/>
      <c r="K48" s="106"/>
      <c r="L48" s="106"/>
      <c r="M48" s="106"/>
      <c r="N48" s="106"/>
      <c r="O48" s="106"/>
    </row>
    <row r="49" spans="2:15" ht="15" customHeight="1" x14ac:dyDescent="0.25">
      <c r="B49" s="111" t="str">
        <f ca="1">INDIRECT("'"&amp;$H$2&amp;"'!B50")</f>
        <v>-</v>
      </c>
      <c r="C49" s="238"/>
      <c r="D49" s="238"/>
      <c r="E49" s="239"/>
      <c r="F49" s="106"/>
      <c r="J49" s="106"/>
      <c r="K49" s="106"/>
      <c r="L49" s="106"/>
      <c r="M49" s="106"/>
      <c r="N49" s="106"/>
      <c r="O49" s="106"/>
    </row>
    <row r="50" spans="2:15" ht="15" customHeight="1" x14ac:dyDescent="0.25">
      <c r="B50" s="111" t="str">
        <f ca="1">INDIRECT("'"&amp;$H$2&amp;"'!B51")</f>
        <v>-</v>
      </c>
      <c r="C50" s="238"/>
      <c r="D50" s="238"/>
      <c r="E50" s="239"/>
      <c r="F50" s="106"/>
      <c r="J50" s="106"/>
      <c r="K50" s="106"/>
      <c r="L50" s="106"/>
      <c r="M50" s="106"/>
      <c r="N50" s="106"/>
      <c r="O50" s="106"/>
    </row>
    <row r="51" spans="2:15" ht="15" customHeight="1" thickBot="1" x14ac:dyDescent="0.3">
      <c r="B51" s="159" t="str">
        <f ca="1">INDIRECT("'"&amp;$H$2&amp;"'!B52")</f>
        <v>-</v>
      </c>
      <c r="C51" s="171"/>
      <c r="D51" s="262"/>
      <c r="E51" s="263"/>
      <c r="F51" s="106"/>
      <c r="J51" s="106"/>
      <c r="K51" s="106"/>
      <c r="L51" s="106"/>
      <c r="M51" s="106"/>
      <c r="N51" s="106"/>
      <c r="O51" s="106"/>
    </row>
    <row r="52" spans="2:15" ht="15" customHeight="1" thickBot="1" x14ac:dyDescent="0.3">
      <c r="B52" s="106"/>
      <c r="C52" s="106"/>
      <c r="D52" s="106"/>
      <c r="E52" s="106"/>
      <c r="F52" s="106"/>
      <c r="J52" s="106"/>
      <c r="K52" s="106"/>
      <c r="L52" s="106"/>
      <c r="M52" s="106"/>
      <c r="N52" s="106"/>
      <c r="O52" s="106"/>
    </row>
    <row r="53" spans="2:15" ht="15" customHeight="1" x14ac:dyDescent="0.25">
      <c r="B53" s="264" t="str">
        <f ca="1">INDIRECT("'"&amp;$H$2&amp;"'!B54")</f>
        <v>-</v>
      </c>
      <c r="C53" s="265"/>
      <c r="D53" s="265"/>
      <c r="E53" s="266"/>
      <c r="F53" s="106"/>
      <c r="J53" s="106"/>
      <c r="K53" s="106"/>
      <c r="L53" s="106"/>
      <c r="M53" s="106"/>
      <c r="N53" s="106"/>
      <c r="O53" s="106"/>
    </row>
    <row r="54" spans="2:15" ht="15" customHeight="1" x14ac:dyDescent="0.25">
      <c r="B54" s="112" t="str">
        <f ca="1">INDIRECT("'"&amp;$H$2&amp;"'!B55")</f>
        <v>-</v>
      </c>
      <c r="C54" s="267"/>
      <c r="D54" s="267"/>
      <c r="E54" s="268"/>
      <c r="F54" s="106"/>
      <c r="J54" s="106"/>
      <c r="K54" s="106"/>
      <c r="L54" s="106"/>
      <c r="M54" s="106"/>
      <c r="N54" s="106"/>
      <c r="O54" s="106"/>
    </row>
    <row r="55" spans="2:15" ht="15" customHeight="1" thickBot="1" x14ac:dyDescent="0.3">
      <c r="B55" s="104" t="str">
        <f ca="1">INDIRECT("'"&amp;$H$2&amp;"'!B56")</f>
        <v>-</v>
      </c>
      <c r="C55" s="172"/>
      <c r="D55" s="255"/>
      <c r="E55" s="256"/>
      <c r="F55" s="106"/>
      <c r="J55" s="106"/>
      <c r="K55" s="106"/>
      <c r="L55" s="106"/>
      <c r="M55" s="106"/>
      <c r="N55" s="106"/>
      <c r="O55" s="106"/>
    </row>
    <row r="56" spans="2:15" ht="15" thickBot="1" x14ac:dyDescent="0.3">
      <c r="B56" s="106"/>
      <c r="C56" s="106"/>
      <c r="D56" s="106"/>
      <c r="E56" s="106"/>
      <c r="F56" s="106"/>
    </row>
    <row r="57" spans="2:15" ht="15" customHeight="1" x14ac:dyDescent="0.25">
      <c r="B57" s="184" t="str">
        <f ca="1">INDIRECT("'"&amp;$H$2&amp;"'!B70")</f>
        <v>-</v>
      </c>
      <c r="C57" s="185"/>
      <c r="D57" s="185"/>
      <c r="E57" s="186"/>
      <c r="F57" s="106"/>
    </row>
    <row r="58" spans="2:15" ht="15" customHeight="1" x14ac:dyDescent="0.25">
      <c r="B58" s="194" t="str">
        <f ca="1">INDIRECT("'"&amp;$H$2&amp;"'!B71")</f>
        <v>-</v>
      </c>
      <c r="C58" s="195"/>
      <c r="D58" s="187"/>
      <c r="E58" s="188"/>
      <c r="F58" s="106"/>
    </row>
    <row r="59" spans="2:15" ht="15" customHeight="1" x14ac:dyDescent="0.25">
      <c r="B59" s="210" t="str">
        <f ca="1">INDIRECT("'"&amp;$H$2&amp;"'!B72")</f>
        <v>-</v>
      </c>
      <c r="C59" s="259"/>
      <c r="D59" s="189"/>
      <c r="E59" s="190"/>
      <c r="F59" s="106"/>
    </row>
    <row r="60" spans="2:15" ht="15" customHeight="1" x14ac:dyDescent="0.25">
      <c r="B60" s="260" t="str">
        <f ca="1">INDIRECT("'"&amp;$H$2&amp;"'!B73")</f>
        <v>-</v>
      </c>
      <c r="C60" s="110" t="str">
        <f ca="1">INDIRECT("'"&amp;$H$2&amp;"'!C73")</f>
        <v>-</v>
      </c>
      <c r="D60" s="189"/>
      <c r="E60" s="190"/>
      <c r="F60" s="106"/>
    </row>
    <row r="61" spans="2:15" ht="15" customHeight="1" x14ac:dyDescent="0.25">
      <c r="B61" s="261"/>
      <c r="C61" s="110" t="str">
        <f ca="1">INDIRECT("'"&amp;$H$2&amp;"'!C74")</f>
        <v>-</v>
      </c>
      <c r="D61" s="189"/>
      <c r="E61" s="190"/>
      <c r="F61" s="106"/>
    </row>
    <row r="62" spans="2:15" ht="15" customHeight="1" thickBot="1" x14ac:dyDescent="0.3">
      <c r="B62" s="252" t="str">
        <f ca="1">INDIRECT("'"&amp;$H$2&amp;"'!B75")</f>
        <v>-</v>
      </c>
      <c r="C62" s="253"/>
      <c r="D62" s="173"/>
      <c r="E62" s="157"/>
      <c r="F62" s="106"/>
    </row>
    <row r="63" spans="2:15" ht="15" customHeight="1" thickBot="1" x14ac:dyDescent="0.3">
      <c r="B63" s="106"/>
      <c r="C63" s="106"/>
      <c r="D63" s="106"/>
      <c r="E63" s="106"/>
      <c r="F63" s="106"/>
    </row>
    <row r="64" spans="2:15" ht="15" customHeight="1" x14ac:dyDescent="0.25">
      <c r="B64" s="191" t="str">
        <f ca="1">INDIRECT("'"&amp;$H$2&amp;"'!B58")</f>
        <v>-</v>
      </c>
      <c r="C64" s="192"/>
      <c r="D64" s="192"/>
      <c r="E64" s="193"/>
      <c r="F64" s="106"/>
    </row>
    <row r="65" spans="2:6" ht="15" customHeight="1" x14ac:dyDescent="0.25">
      <c r="B65" s="111" t="str">
        <f ca="1">INDIRECT("'"&amp;$H$2&amp;"'!B59")</f>
        <v>-</v>
      </c>
      <c r="C65" s="238"/>
      <c r="D65" s="238"/>
      <c r="E65" s="239"/>
      <c r="F65" s="106"/>
    </row>
    <row r="66" spans="2:6" ht="15" customHeight="1" x14ac:dyDescent="0.25">
      <c r="B66" s="111" t="str">
        <f ca="1">INDIRECT("'"&amp;$H$2&amp;"'!B60")</f>
        <v>-</v>
      </c>
      <c r="C66" s="238"/>
      <c r="D66" s="238"/>
      <c r="E66" s="239"/>
      <c r="F66" s="106"/>
    </row>
    <row r="67" spans="2:6" ht="30" customHeight="1" x14ac:dyDescent="0.25">
      <c r="B67" s="112" t="str">
        <f ca="1">INDIRECT("'"&amp;$H$2&amp;"'!B61")</f>
        <v>-</v>
      </c>
      <c r="C67" s="238"/>
      <c r="D67" s="238"/>
      <c r="E67" s="239"/>
      <c r="F67" s="106"/>
    </row>
    <row r="68" spans="2:6" ht="15" customHeight="1" thickBot="1" x14ac:dyDescent="0.3">
      <c r="B68" s="104" t="str">
        <f ca="1">INDIRECT("'"&amp;$H$2&amp;"'!B62")</f>
        <v>-</v>
      </c>
      <c r="C68" s="171"/>
      <c r="D68" s="255"/>
      <c r="E68" s="256"/>
      <c r="F68" s="106"/>
    </row>
    <row r="69" spans="2:6" ht="15" customHeight="1" x14ac:dyDescent="0.25">
      <c r="B69" s="254" t="str">
        <f ca="1">INDIRECT("'"&amp;$H$2&amp;"'!B63")</f>
        <v>-</v>
      </c>
      <c r="C69" s="254"/>
      <c r="D69" s="106"/>
      <c r="E69" s="106"/>
      <c r="F69" s="106"/>
    </row>
    <row r="70" spans="2:6" ht="15" customHeight="1" thickBot="1" x14ac:dyDescent="0.3">
      <c r="B70" s="106"/>
      <c r="C70" s="106"/>
      <c r="D70" s="106"/>
      <c r="E70" s="106"/>
      <c r="F70" s="106"/>
    </row>
    <row r="71" spans="2:6" ht="15" customHeight="1" x14ac:dyDescent="0.25">
      <c r="B71" s="191" t="str">
        <f ca="1">INDIRECT("'"&amp;$H$2&amp;"'!B65")</f>
        <v>-</v>
      </c>
      <c r="C71" s="192"/>
      <c r="D71" s="192"/>
      <c r="E71" s="193"/>
      <c r="F71" s="106"/>
    </row>
    <row r="72" spans="2:6" ht="30" customHeight="1" x14ac:dyDescent="0.25">
      <c r="B72" s="112" t="str">
        <f ca="1">INDIRECT("'"&amp;$H$2&amp;"'!B66")</f>
        <v>-</v>
      </c>
      <c r="C72" s="257"/>
      <c r="D72" s="257"/>
      <c r="E72" s="258"/>
      <c r="F72" s="106"/>
    </row>
    <row r="73" spans="2:6" ht="15" customHeight="1" x14ac:dyDescent="0.25">
      <c r="B73" s="111" t="str">
        <f ca="1">INDIRECT("'"&amp;$H$2&amp;"'!B67")</f>
        <v>-</v>
      </c>
      <c r="C73" s="238"/>
      <c r="D73" s="238"/>
      <c r="E73" s="239"/>
      <c r="F73" s="106"/>
    </row>
    <row r="74" spans="2:6" ht="15" customHeight="1" thickBot="1" x14ac:dyDescent="0.3">
      <c r="B74" s="159" t="str">
        <f ca="1">INDIRECT("'"&amp;$H$2&amp;"'!B68")</f>
        <v>-</v>
      </c>
      <c r="C74" s="171"/>
      <c r="D74" s="255"/>
      <c r="E74" s="256"/>
      <c r="F74" s="106"/>
    </row>
    <row r="75" spans="2:6" ht="15" customHeight="1" x14ac:dyDescent="0.25">
      <c r="B75" s="106"/>
      <c r="C75" s="106"/>
      <c r="D75" s="106"/>
      <c r="E75" s="106"/>
      <c r="F75" s="106"/>
    </row>
    <row r="76" spans="2:6" ht="15" customHeight="1" x14ac:dyDescent="0.25">
      <c r="B76" s="106"/>
      <c r="C76" s="106"/>
      <c r="D76" s="106"/>
      <c r="E76" s="106"/>
      <c r="F76" s="106"/>
    </row>
    <row r="77" spans="2:6" ht="15" customHeight="1" x14ac:dyDescent="0.25">
      <c r="B77" s="106"/>
      <c r="C77" s="106"/>
      <c r="D77" s="106"/>
      <c r="E77" s="106"/>
      <c r="F77" s="106"/>
    </row>
    <row r="78" spans="2:6" ht="15" customHeight="1" x14ac:dyDescent="0.25">
      <c r="B78" s="106"/>
      <c r="C78" s="106"/>
      <c r="D78" s="106"/>
      <c r="E78" s="106"/>
      <c r="F78" s="106"/>
    </row>
    <row r="79" spans="2:6" ht="15" customHeight="1" x14ac:dyDescent="0.25">
      <c r="B79" s="106"/>
      <c r="C79" s="106"/>
      <c r="D79" s="106"/>
      <c r="E79" s="106"/>
      <c r="F79" s="106"/>
    </row>
    <row r="80" spans="2:6" ht="15" customHeight="1" x14ac:dyDescent="0.25">
      <c r="B80" s="106"/>
      <c r="C80" s="106"/>
      <c r="D80" s="106"/>
      <c r="E80" s="106"/>
      <c r="F80" s="106"/>
    </row>
    <row r="81" spans="2:6" ht="15" customHeight="1" x14ac:dyDescent="0.25">
      <c r="B81" s="106"/>
      <c r="C81" s="106"/>
      <c r="D81" s="106"/>
      <c r="E81" s="106"/>
      <c r="F81" s="106"/>
    </row>
    <row r="82" spans="2:6" ht="15" customHeight="1" x14ac:dyDescent="0.25">
      <c r="B82" s="106"/>
      <c r="C82" s="106"/>
      <c r="D82" s="106"/>
      <c r="E82" s="106"/>
      <c r="F82" s="106"/>
    </row>
    <row r="83" spans="2:6" ht="15" customHeight="1" x14ac:dyDescent="0.25">
      <c r="B83" s="106"/>
      <c r="C83" s="106"/>
      <c r="D83" s="106"/>
      <c r="E83" s="106"/>
      <c r="F83" s="106"/>
    </row>
    <row r="84" spans="2:6" ht="15" customHeight="1" x14ac:dyDescent="0.25">
      <c r="B84" s="106"/>
      <c r="C84" s="106"/>
      <c r="D84" s="106"/>
      <c r="E84" s="106"/>
      <c r="F84" s="106"/>
    </row>
    <row r="85" spans="2:6" ht="15" customHeight="1" x14ac:dyDescent="0.25">
      <c r="B85" s="106"/>
      <c r="C85" s="106"/>
      <c r="D85" s="106"/>
      <c r="E85" s="106"/>
      <c r="F85" s="106"/>
    </row>
    <row r="86" spans="2:6" ht="15" customHeight="1" x14ac:dyDescent="0.25">
      <c r="B86" s="106"/>
      <c r="C86" s="106"/>
      <c r="D86" s="106"/>
      <c r="E86" s="106"/>
      <c r="F86" s="106"/>
    </row>
    <row r="87" spans="2:6" ht="15" hidden="1" customHeight="1" x14ac:dyDescent="0.25"/>
    <row r="88" spans="2:6" ht="15" hidden="1" customHeight="1" x14ac:dyDescent="0.25"/>
    <row r="89" spans="2:6" ht="15" hidden="1" customHeight="1" x14ac:dyDescent="0.25"/>
    <row r="90" spans="2:6" ht="15" hidden="1" customHeight="1" x14ac:dyDescent="0.25"/>
    <row r="91" spans="2:6" ht="15" hidden="1" customHeight="1" x14ac:dyDescent="0.25"/>
    <row r="92" spans="2:6" ht="15" hidden="1" customHeight="1" x14ac:dyDescent="0.25"/>
    <row r="93" spans="2:6" ht="15" hidden="1" customHeight="1" x14ac:dyDescent="0.25"/>
    <row r="94" spans="2:6" ht="15" hidden="1" customHeight="1" x14ac:dyDescent="0.25"/>
    <row r="95" spans="2:6" ht="15" hidden="1" customHeight="1" x14ac:dyDescent="0.25"/>
    <row r="96" spans="2:6" ht="15" hidden="1" customHeight="1" x14ac:dyDescent="0.25"/>
    <row r="97" ht="15" hidden="1" customHeight="1" x14ac:dyDescent="0.25"/>
    <row r="98" ht="15" hidden="1" customHeight="1" x14ac:dyDescent="0.25"/>
    <row r="99" ht="15" hidden="1" customHeight="1" x14ac:dyDescent="0.25"/>
    <row r="100" ht="15" hidden="1" customHeight="1" x14ac:dyDescent="0.25"/>
    <row r="101" ht="15" hidden="1" customHeight="1" x14ac:dyDescent="0.25"/>
    <row r="102" ht="15" hidden="1" customHeight="1" x14ac:dyDescent="0.25"/>
    <row r="103" ht="15" hidden="1" customHeight="1" x14ac:dyDescent="0.25"/>
    <row r="104" ht="15" hidden="1" customHeight="1" x14ac:dyDescent="0.25"/>
    <row r="105" ht="15" hidden="1" customHeight="1" x14ac:dyDescent="0.25"/>
    <row r="106" ht="15" hidden="1" customHeight="1" x14ac:dyDescent="0.25"/>
    <row r="107" ht="15" hidden="1" customHeight="1" x14ac:dyDescent="0.25"/>
    <row r="108" ht="15" hidden="1" customHeight="1" x14ac:dyDescent="0.25"/>
    <row r="109" ht="15" hidden="1" customHeight="1" x14ac:dyDescent="0.25"/>
    <row r="110" ht="15" hidden="1" customHeight="1" x14ac:dyDescent="0.25"/>
    <row r="111" ht="15" hidden="1" customHeight="1" x14ac:dyDescent="0.25"/>
    <row r="112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x14ac:dyDescent="0.25"/>
  </sheetData>
  <sheetProtection algorithmName="SHA-512" hashValue="w5Q1KuIS5tMGceArSa0oe7XKTxWTYQx6XIlDe9NMYbek61kkYx5kJgjWJeUlF8xnVTUVTUBTVZldjqVgh6XQmw==" saltValue="OqZfMdRWFWPuJCx3JObTeQ==" spinCount="100000" sheet="1" objects="1" scenarios="1"/>
  <mergeCells count="76">
    <mergeCell ref="B59:C59"/>
    <mergeCell ref="B60:B61"/>
    <mergeCell ref="D51:E51"/>
    <mergeCell ref="B53:E53"/>
    <mergeCell ref="C54:E54"/>
    <mergeCell ref="D55:E55"/>
    <mergeCell ref="D61:E61"/>
    <mergeCell ref="D74:E74"/>
    <mergeCell ref="C67:E67"/>
    <mergeCell ref="D68:E68"/>
    <mergeCell ref="B71:E71"/>
    <mergeCell ref="C72:E72"/>
    <mergeCell ref="C73:E73"/>
    <mergeCell ref="B62:C62"/>
    <mergeCell ref="B69:C69"/>
    <mergeCell ref="B64:E64"/>
    <mergeCell ref="C65:E65"/>
    <mergeCell ref="C66:E66"/>
    <mergeCell ref="B19:C19"/>
    <mergeCell ref="D25:F25"/>
    <mergeCell ref="B48:E48"/>
    <mergeCell ref="C49:E49"/>
    <mergeCell ref="C50:E50"/>
    <mergeCell ref="D24:F24"/>
    <mergeCell ref="E20:F20"/>
    <mergeCell ref="B20:C20"/>
    <mergeCell ref="B30:F30"/>
    <mergeCell ref="B32:C32"/>
    <mergeCell ref="C44:E44"/>
    <mergeCell ref="C45:E45"/>
    <mergeCell ref="D46:E46"/>
    <mergeCell ref="D29:F29"/>
    <mergeCell ref="B8:C8"/>
    <mergeCell ref="B17:C17"/>
    <mergeCell ref="B10:C11"/>
    <mergeCell ref="B16:C16"/>
    <mergeCell ref="B9:C9"/>
    <mergeCell ref="B12:B15"/>
    <mergeCell ref="D12:F12"/>
    <mergeCell ref="D27:F27"/>
    <mergeCell ref="D15:F15"/>
    <mergeCell ref="D14:F14"/>
    <mergeCell ref="D13:F13"/>
    <mergeCell ref="D16:F16"/>
    <mergeCell ref="B7:F7"/>
    <mergeCell ref="B31:C31"/>
    <mergeCell ref="D31:F31"/>
    <mergeCell ref="B36:C37"/>
    <mergeCell ref="D36:F37"/>
    <mergeCell ref="B35:C35"/>
    <mergeCell ref="D35:F35"/>
    <mergeCell ref="E9:F9"/>
    <mergeCell ref="D10:D11"/>
    <mergeCell ref="B33:B34"/>
    <mergeCell ref="D33:F33"/>
    <mergeCell ref="D34:F34"/>
    <mergeCell ref="B18:C18"/>
    <mergeCell ref="D21:F21"/>
    <mergeCell ref="D22:F22"/>
    <mergeCell ref="D23:F23"/>
    <mergeCell ref="C1:D1"/>
    <mergeCell ref="B57:E57"/>
    <mergeCell ref="D58:E58"/>
    <mergeCell ref="D59:E59"/>
    <mergeCell ref="D60:E60"/>
    <mergeCell ref="B43:E43"/>
    <mergeCell ref="B58:C58"/>
    <mergeCell ref="B2:F2"/>
    <mergeCell ref="E3:F3"/>
    <mergeCell ref="E4:F4"/>
    <mergeCell ref="E5:F5"/>
    <mergeCell ref="E6:F6"/>
    <mergeCell ref="B21:B29"/>
    <mergeCell ref="D28:F28"/>
    <mergeCell ref="D26:F26"/>
    <mergeCell ref="E32:F32"/>
  </mergeCells>
  <dataValidations count="29">
    <dataValidation type="list" allowBlank="1" showInputMessage="1" showErrorMessage="1" sqref="H2" xr:uid="{00000000-0002-0000-0000-000000000000}">
      <formula1>"RUS, ENG, "</formula1>
    </dataValidation>
    <dataValidation allowBlank="1" showErrorMessage="1" prompt="Please indicate Cl- concentration if it is higher than 300 mg/l." sqref="D13:D15" xr:uid="{00000000-0002-0000-0000-000001000000}"/>
    <dataValidation type="list" allowBlank="1" showErrorMessage="1" prompt="Please indicate Cl- concentration if it is higher than 300 mg/l." sqref="D10:D11" xr:uid="{00000000-0002-0000-0000-000002000000}">
      <formula1>$J$2:$J$3</formula1>
    </dataValidation>
    <dataValidation type="list" allowBlank="1" showInputMessage="1" showErrorMessage="1" sqref="D17" xr:uid="{00000000-0002-0000-0000-000003000000}">
      <formula1>$L$6:$L$7</formula1>
    </dataValidation>
    <dataValidation type="list" allowBlank="1" showInputMessage="1" showErrorMessage="1" sqref="D18" xr:uid="{00000000-0002-0000-0000-000004000000}">
      <formula1>$L$10:$L$12</formula1>
    </dataValidation>
    <dataValidation type="list" allowBlank="1" showInputMessage="1" showErrorMessage="1" sqref="D16:F16" xr:uid="{00000000-0002-0000-0000-000005000000}">
      <formula1>$N$2:$N$3</formula1>
    </dataValidation>
    <dataValidation type="list" allowBlank="1" showInputMessage="1" showErrorMessage="1" sqref="D8" xr:uid="{00000000-0002-0000-0000-000006000000}">
      <formula1>IF(C1=L4,N6, IF(C1=L3,N5:N6,IF(C1=L2,N5:N7,"-")))</formula1>
    </dataValidation>
    <dataValidation type="list" allowBlank="1" showInputMessage="1" showErrorMessage="1" sqref="D31" xr:uid="{00000000-0002-0000-0000-000007000000}">
      <formula1>$J$10:$J$11</formula1>
    </dataValidation>
    <dataValidation type="list" allowBlank="1" showInputMessage="1" showErrorMessage="1" sqref="D9" xr:uid="{00000000-0002-0000-0000-000008000000}">
      <formula1>$M$2:$M$12</formula1>
    </dataValidation>
    <dataValidation type="list" allowBlank="1" showInputMessage="1" showErrorMessage="1" sqref="D32" xr:uid="{00000000-0002-0000-0000-000009000000}">
      <formula1>IF($C$1=$L$2,$O$12:$O$14,$O$2:$O$4)</formula1>
    </dataValidation>
    <dataValidation type="list" allowBlank="1" showInputMessage="1" showErrorMessage="1" sqref="D20" xr:uid="{00000000-0002-0000-0000-00000A000000}">
      <formula1>$T$2:$T$9</formula1>
    </dataValidation>
    <dataValidation type="list" allowBlank="1" showInputMessage="1" showErrorMessage="1" sqref="D24:F24 D21:F22" xr:uid="{00000000-0002-0000-0000-00000B000000}">
      <formula1>$P$9:$P$11</formula1>
    </dataValidation>
    <dataValidation type="list" allowBlank="1" showInputMessage="1" showErrorMessage="1" sqref="D23:F23 E29:F29 E25:F27 D25:D29" xr:uid="{00000000-0002-0000-0000-00000C000000}">
      <formula1>$O$9:$O$10</formula1>
    </dataValidation>
    <dataValidation type="list" allowBlank="1" showInputMessage="1" showErrorMessage="1" sqref="C54" xr:uid="{00000000-0002-0000-0000-00000D000000}">
      <formula1>$P$2:$P$4</formula1>
    </dataValidation>
    <dataValidation type="list" allowBlank="1" showInputMessage="1" showErrorMessage="1" sqref="D35:F35" xr:uid="{00000000-0002-0000-0000-00000E000000}">
      <formula1>$Q$12:$Q$13</formula1>
    </dataValidation>
    <dataValidation type="list" allowBlank="1" showInputMessage="1" showErrorMessage="1" sqref="F8" xr:uid="{00000000-0002-0000-0000-00000F000000}">
      <formula1>$R$2:$R$3</formula1>
    </dataValidation>
    <dataValidation type="list" allowBlank="1" showInputMessage="1" showErrorMessage="1" sqref="C51" xr:uid="{00000000-0002-0000-0000-000010000000}">
      <formula1>$S$2:$S$7</formula1>
    </dataValidation>
    <dataValidation type="list" allowBlank="1" showInputMessage="1" showErrorMessage="1" sqref="C46" xr:uid="{00000000-0002-0000-0000-000011000000}">
      <formula1>$S$10:$S$14</formula1>
    </dataValidation>
    <dataValidation type="list" allowBlank="1" showInputMessage="1" showErrorMessage="1" sqref="C68" xr:uid="{00000000-0002-0000-0000-000012000000}">
      <formula1>$K$19:$K$24</formula1>
    </dataValidation>
    <dataValidation type="list" allowBlank="1" showInputMessage="1" showErrorMessage="1" sqref="F62" xr:uid="{00000000-0002-0000-0000-000013000000}">
      <formula1>$J$20:$J$25</formula1>
    </dataValidation>
    <dataValidation type="list" allowBlank="1" showInputMessage="1" showErrorMessage="1" sqref="C55" xr:uid="{00000000-0002-0000-0000-000014000000}">
      <formula1>$L$19:$L$23</formula1>
    </dataValidation>
    <dataValidation type="list" allowBlank="1" showInputMessage="1" showErrorMessage="1" sqref="F18" xr:uid="{00000000-0002-0000-0000-000015000000}">
      <formula1>$M$18:$M$19</formula1>
    </dataValidation>
    <dataValidation type="list" allowBlank="1" showInputMessage="1" showErrorMessage="1" sqref="C1:D1" xr:uid="{00000000-0002-0000-0000-000016000000}">
      <formula1>$L$2:$L$4</formula1>
    </dataValidation>
    <dataValidation type="list" allowBlank="1" showInputMessage="1" showErrorMessage="1" sqref="F19" xr:uid="{00000000-0002-0000-0000-000017000000}">
      <formula1>IF(F18=M18,Q8:Q10,IF(AND(F18=M19,D19=M20),Q10,IF(AND(F18=M19,D19=#REF!),Q11,"-")))</formula1>
    </dataValidation>
    <dataValidation type="list" allowBlank="1" showInputMessage="1" showErrorMessage="1" sqref="D19" xr:uid="{00000000-0002-0000-0000-000018000000}">
      <formula1>IF(F18=M19,M20:M21,M20)</formula1>
    </dataValidation>
    <dataValidation type="list" allowBlank="1" showInputMessage="1" showErrorMessage="1" sqref="D58:E58" xr:uid="{00000000-0002-0000-0000-000019000000}">
      <formula1>IF(D24=P9,Q4:Q5,Q2:Q5)</formula1>
    </dataValidation>
    <dataValidation type="list" allowBlank="1" showInputMessage="1" showErrorMessage="1" sqref="D62" xr:uid="{00000000-0002-0000-0000-00001A000000}">
      <formula1>$R$7:$R$11</formula1>
    </dataValidation>
    <dataValidation type="list" allowBlank="1" showInputMessage="1" showErrorMessage="1" sqref="C72:E72" xr:uid="{00000000-0002-0000-0000-00001B000000}">
      <formula1>$U$2:$U$5</formula1>
    </dataValidation>
    <dataValidation type="list" allowBlank="1" showInputMessage="1" showErrorMessage="1" sqref="C74" xr:uid="{00000000-0002-0000-0000-00001C000000}">
      <formula1>$J$19:$J$24</formula1>
    </dataValidation>
  </dataValidations>
  <pageMargins left="0.7" right="0.7" top="0.75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58"/>
  <sheetViews>
    <sheetView tabSelected="1" zoomScaleNormal="100" workbookViewId="0">
      <selection activeCell="P6" sqref="P6"/>
    </sheetView>
  </sheetViews>
  <sheetFormatPr defaultColWidth="0" defaultRowHeight="15" customHeight="1" zeroHeight="1" x14ac:dyDescent="0.25"/>
  <cols>
    <col min="1" max="1" width="7" style="16" customWidth="1"/>
    <col min="2" max="5" width="9.140625" style="16" customWidth="1"/>
    <col min="6" max="6" width="10.7109375" style="16" customWidth="1"/>
    <col min="7" max="7" width="15.7109375" style="16" customWidth="1"/>
    <col min="8" max="10" width="9.140625" style="16" customWidth="1"/>
    <col min="11" max="11" width="20" style="16" customWidth="1"/>
    <col min="12" max="12" width="12.140625" style="16" customWidth="1"/>
    <col min="13" max="13" width="10.7109375" style="16" customWidth="1"/>
    <col min="14" max="14" width="15.7109375" style="16" customWidth="1"/>
    <col min="15" max="15" width="1.85546875" style="16" customWidth="1"/>
    <col min="16" max="16" width="24.7109375" style="16" customWidth="1"/>
    <col min="17" max="17" width="8.7109375" style="16" customWidth="1"/>
    <col min="18" max="18" width="6.42578125" style="16" customWidth="1"/>
    <col min="19" max="19" width="8.7109375" style="16" customWidth="1"/>
    <col min="20" max="20" width="9.140625" style="16" customWidth="1"/>
    <col min="21" max="23" width="9.140625" style="16" hidden="1" customWidth="1"/>
    <col min="24" max="24" width="18.85546875" style="16" hidden="1" customWidth="1"/>
    <col min="25" max="26" width="17.7109375" style="16" hidden="1" customWidth="1"/>
    <col min="27" max="16384" width="9.140625" style="16" hidden="1"/>
  </cols>
  <sheetData>
    <row r="1" spans="1:22" ht="30.75" customHeight="1" x14ac:dyDescent="0.25">
      <c r="A1" s="116"/>
      <c r="B1" s="116"/>
      <c r="C1" s="116"/>
      <c r="D1" s="116"/>
      <c r="E1" s="116"/>
      <c r="F1" s="271" t="str">
        <f ca="1">INDIRECT("'"&amp;$P$1&amp;"'!F2")</f>
        <v>Выберите тип оборудования и заполните таблицу</v>
      </c>
      <c r="G1" s="271"/>
      <c r="H1" s="271"/>
      <c r="I1" s="271"/>
      <c r="J1" s="271"/>
      <c r="K1" s="271"/>
      <c r="L1" s="116"/>
      <c r="M1" s="116"/>
      <c r="N1" s="116"/>
      <c r="O1" s="116"/>
      <c r="P1" s="182" t="s">
        <v>313</v>
      </c>
      <c r="Q1" s="116"/>
      <c r="R1" s="116"/>
      <c r="S1" s="116"/>
      <c r="T1" s="116"/>
    </row>
    <row r="2" spans="1:22" x14ac:dyDescent="0.25">
      <c r="A2" s="116"/>
      <c r="B2" s="116"/>
      <c r="C2" s="116"/>
      <c r="D2" s="116"/>
      <c r="E2" s="116"/>
      <c r="F2" s="156"/>
      <c r="G2" s="156"/>
      <c r="H2" s="156"/>
      <c r="I2" s="156"/>
      <c r="J2" s="156"/>
      <c r="K2" s="156"/>
      <c r="L2" s="116"/>
      <c r="M2" s="116"/>
      <c r="N2" s="116"/>
      <c r="O2" s="116"/>
      <c r="P2" s="174" t="str">
        <f ca="1">INDIRECT("'"&amp;$P$1&amp;"'!P3")</f>
        <v>Выберите</v>
      </c>
      <c r="Q2" s="116"/>
      <c r="R2" s="116"/>
      <c r="S2" s="116"/>
      <c r="T2" s="116"/>
    </row>
    <row r="3" spans="1:22" x14ac:dyDescent="0.25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4" t="str">
        <f ca="1">INDIRECT("'"&amp;$P$1&amp;"'!P4")</f>
        <v>Пожалуйста заполните</v>
      </c>
      <c r="Q3" s="116"/>
      <c r="R3" s="116"/>
      <c r="S3" s="116"/>
      <c r="T3" s="116"/>
    </row>
    <row r="4" spans="1:22" ht="20.100000000000001" customHeight="1" thickBot="1" x14ac:dyDescent="0.3">
      <c r="A4" s="272" t="str">
        <f ca="1">INDIRECT("'"&amp;$P$1&amp;"'!A5")</f>
        <v>Бетонная емкость тип I</v>
      </c>
      <c r="B4" s="272"/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116"/>
      <c r="Q4" s="116"/>
      <c r="R4" s="116"/>
      <c r="S4" s="116"/>
      <c r="T4" s="116"/>
    </row>
    <row r="5" spans="1:22" ht="15" customHeight="1" x14ac:dyDescent="0.25">
      <c r="A5" s="116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27" t="str">
        <f ca="1">INDIRECT("'"&amp;$P$1&amp;"'!P6")</f>
        <v>B, мм</v>
      </c>
      <c r="Q5" s="273"/>
      <c r="R5" s="273"/>
      <c r="S5" s="274"/>
      <c r="T5" s="116"/>
      <c r="V5" s="16" t="str">
        <f ca="1">INDIRECT("'"&amp;$P$1&amp;"'!V6")</f>
        <v>Прямоугольное</v>
      </c>
    </row>
    <row r="6" spans="1:22" x14ac:dyDescent="0.25">
      <c r="A6" s="116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29" t="str">
        <f ca="1">INDIRECT("'"&amp;$P$1&amp;"'!P7")</f>
        <v>D1, мм</v>
      </c>
      <c r="Q6" s="275"/>
      <c r="R6" s="275"/>
      <c r="S6" s="276"/>
      <c r="T6" s="116"/>
      <c r="V6" s="16" t="str">
        <f ca="1">INDIRECT("'"&amp;$P$1&amp;"'!V7")</f>
        <v>Круглое</v>
      </c>
    </row>
    <row r="7" spans="1:22" x14ac:dyDescent="0.25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29" t="str">
        <f ca="1">INDIRECT("'"&amp;$P$1&amp;"'!P8")</f>
        <v>D2, мм</v>
      </c>
      <c r="Q7" s="275"/>
      <c r="R7" s="275"/>
      <c r="S7" s="276"/>
      <c r="T7" s="116"/>
    </row>
    <row r="8" spans="1:22" x14ac:dyDescent="0.2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29" t="str">
        <f ca="1">INDIRECT("'"&amp;$P$1&amp;"'!P9")</f>
        <v>D3, мм</v>
      </c>
      <c r="Q8" s="275"/>
      <c r="R8" s="275"/>
      <c r="S8" s="276"/>
      <c r="T8" s="116"/>
    </row>
    <row r="9" spans="1:22" x14ac:dyDescent="0.25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29" t="str">
        <f ca="1">INDIRECT("'"&amp;$P$1&amp;"'!P10")</f>
        <v>D4, мм</v>
      </c>
      <c r="Q9" s="275"/>
      <c r="R9" s="275"/>
      <c r="S9" s="276"/>
      <c r="T9" s="116"/>
    </row>
    <row r="10" spans="1:22" x14ac:dyDescent="0.25">
      <c r="A10" s="116"/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29" t="str">
        <f ca="1">INDIRECT("'"&amp;$P$1&amp;"'!P11")</f>
        <v>D5, мм</v>
      </c>
      <c r="Q10" s="275"/>
      <c r="R10" s="275"/>
      <c r="S10" s="276"/>
      <c r="T10" s="116"/>
    </row>
    <row r="11" spans="1:22" x14ac:dyDescent="0.25">
      <c r="A11" s="116"/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29" t="str">
        <f ca="1">INDIRECT("'"&amp;$P$1&amp;"'!P12")</f>
        <v>D6, мм</v>
      </c>
      <c r="Q11" s="275"/>
      <c r="R11" s="275"/>
      <c r="S11" s="276"/>
      <c r="T11" s="116"/>
    </row>
    <row r="12" spans="1:22" x14ac:dyDescent="0.25">
      <c r="A12" s="116"/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29" t="str">
        <f ca="1">INDIRECT("'"&amp;$P$1&amp;"'!P13")</f>
        <v>D7, мм</v>
      </c>
      <c r="Q12" s="275"/>
      <c r="R12" s="275"/>
      <c r="S12" s="276"/>
      <c r="T12" s="116"/>
    </row>
    <row r="13" spans="1:22" x14ac:dyDescent="0.25">
      <c r="A13" s="116"/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29" t="str">
        <f ca="1">INDIRECT("'"&amp;$P$1&amp;"'!P14")</f>
        <v>DN</v>
      </c>
      <c r="Q13" s="140"/>
      <c r="R13" s="161" t="s">
        <v>213</v>
      </c>
      <c r="S13" s="141"/>
      <c r="T13" s="116"/>
    </row>
    <row r="14" spans="1:22" x14ac:dyDescent="0.25">
      <c r="A14" s="116"/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6"/>
      <c r="P14" s="29" t="str">
        <f ca="1">INDIRECT("'"&amp;$P$1&amp;"'!P15")</f>
        <v>h, мм</v>
      </c>
      <c r="Q14" s="269"/>
      <c r="R14" s="269"/>
      <c r="S14" s="270"/>
      <c r="T14" s="116"/>
    </row>
    <row r="15" spans="1:22" x14ac:dyDescent="0.25">
      <c r="A15" s="116"/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6"/>
      <c r="P15" s="29" t="str">
        <f ca="1">INDIRECT("'"&amp;$P$1&amp;"'!P16")</f>
        <v>H1, мм</v>
      </c>
      <c r="Q15" s="269"/>
      <c r="R15" s="269"/>
      <c r="S15" s="270"/>
      <c r="T15" s="116"/>
    </row>
    <row r="16" spans="1:22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29" t="str">
        <f ca="1">INDIRECT("'"&amp;$P$1&amp;"'!P17")</f>
        <v>H2, мм</v>
      </c>
      <c r="Q16" s="269"/>
      <c r="R16" s="269"/>
      <c r="S16" s="270"/>
      <c r="T16" s="116"/>
    </row>
    <row r="17" spans="1:20" x14ac:dyDescent="0.25">
      <c r="A17" s="116"/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29" t="str">
        <f ca="1">INDIRECT("'"&amp;$P$1&amp;"'!P18")</f>
        <v>H3, мм</v>
      </c>
      <c r="Q17" s="269"/>
      <c r="R17" s="269"/>
      <c r="S17" s="270"/>
      <c r="T17" s="116"/>
    </row>
    <row r="18" spans="1:20" x14ac:dyDescent="0.25">
      <c r="A18" s="116"/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29" t="str">
        <f ca="1">INDIRECT("'"&amp;$P$1&amp;"'!P19")</f>
        <v>H4, мм</v>
      </c>
      <c r="Q18" s="269"/>
      <c r="R18" s="269"/>
      <c r="S18" s="270"/>
      <c r="T18" s="116"/>
    </row>
    <row r="19" spans="1:20" x14ac:dyDescent="0.25">
      <c r="A19" s="116"/>
      <c r="B19" s="11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29" t="str">
        <f ca="1">INDIRECT("'"&amp;$P$1&amp;"'!P20")</f>
        <v>H5, мм</v>
      </c>
      <c r="Q19" s="269"/>
      <c r="R19" s="269"/>
      <c r="S19" s="270"/>
      <c r="T19" s="116"/>
    </row>
    <row r="20" spans="1:20" x14ac:dyDescent="0.25">
      <c r="A20" s="116"/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29" t="str">
        <f ca="1">INDIRECT("'"&amp;$P$1&amp;"'!P21")</f>
        <v>H6, мм</v>
      </c>
      <c r="Q20" s="269"/>
      <c r="R20" s="269"/>
      <c r="S20" s="270"/>
      <c r="T20" s="116"/>
    </row>
    <row r="21" spans="1:20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29" t="str">
        <f ca="1">INDIRECT("'"&amp;$P$1&amp;"'!P22")</f>
        <v>H7, мм</v>
      </c>
      <c r="Q21" s="269"/>
      <c r="R21" s="269"/>
      <c r="S21" s="270"/>
      <c r="T21" s="116"/>
    </row>
    <row r="22" spans="1:20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29" t="str">
        <f ca="1">INDIRECT("'"&amp;$P$1&amp;"'!P23")</f>
        <v>a, мм</v>
      </c>
      <c r="Q22" s="269"/>
      <c r="R22" s="269"/>
      <c r="S22" s="270"/>
      <c r="T22" s="116"/>
    </row>
    <row r="23" spans="1:20" ht="15.75" x14ac:dyDescent="0.25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48"/>
      <c r="M23" s="116"/>
      <c r="N23" s="116"/>
      <c r="O23" s="116"/>
      <c r="P23" s="29" t="str">
        <f ca="1">INDIRECT("'"&amp;$P$1&amp;"'!P24")</f>
        <v>k1, мм</v>
      </c>
      <c r="Q23" s="269"/>
      <c r="R23" s="269"/>
      <c r="S23" s="270"/>
      <c r="T23" s="116"/>
    </row>
    <row r="24" spans="1:20" x14ac:dyDescent="0.25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29" t="str">
        <f ca="1">INDIRECT("'"&amp;$P$1&amp;"'!P25")</f>
        <v>k2, мм</v>
      </c>
      <c r="Q24" s="269"/>
      <c r="R24" s="269"/>
      <c r="S24" s="270"/>
      <c r="T24" s="116"/>
    </row>
    <row r="25" spans="1:20" ht="28.5" x14ac:dyDescent="0.25">
      <c r="A25" s="116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35" t="str">
        <f ca="1">INDIRECT("'"&amp;$P$1&amp;"'!P26")</f>
        <v>Тип отверстия для кабеля</v>
      </c>
      <c r="Q25" s="187"/>
      <c r="R25" s="207"/>
      <c r="S25" s="188"/>
      <c r="T25" s="116"/>
    </row>
    <row r="26" spans="1:20" ht="15.75" thickBot="1" x14ac:dyDescent="0.3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32" t="str">
        <f ca="1">INDIRECT("'"&amp;$P$1&amp;"'!P27")</f>
        <v xml:space="preserve"> </v>
      </c>
      <c r="Q26" s="277"/>
      <c r="R26" s="277"/>
      <c r="S26" s="278"/>
      <c r="T26" s="116"/>
    </row>
    <row r="27" spans="1:20" x14ac:dyDescent="0.2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</row>
    <row r="28" spans="1:20" ht="20.100000000000001" customHeight="1" thickBot="1" x14ac:dyDescent="0.3">
      <c r="A28" s="272" t="str">
        <f ca="1">INDIRECT("'"&amp;$P$1&amp;"'!A29")</f>
        <v>Бетонная емкость тип II</v>
      </c>
      <c r="B28" s="272"/>
      <c r="C28" s="272"/>
      <c r="D28" s="272"/>
      <c r="E28" s="272"/>
      <c r="F28" s="272"/>
      <c r="G28" s="272"/>
      <c r="H28" s="272"/>
      <c r="I28" s="272"/>
      <c r="J28" s="272"/>
      <c r="K28" s="272"/>
      <c r="L28" s="272"/>
      <c r="M28" s="272"/>
      <c r="N28" s="272"/>
      <c r="O28" s="272"/>
      <c r="P28" s="116"/>
      <c r="Q28" s="116"/>
      <c r="R28" s="116"/>
      <c r="S28" s="116"/>
      <c r="T28" s="116"/>
    </row>
    <row r="29" spans="1:20" x14ac:dyDescent="0.25">
      <c r="A29" s="116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03" t="str">
        <f ca="1">INDIRECT("'"&amp;$P$1&amp;"'!P30")</f>
        <v>B, мм</v>
      </c>
      <c r="Q29" s="282"/>
      <c r="R29" s="283"/>
      <c r="S29" s="284"/>
      <c r="T29" s="116"/>
    </row>
    <row r="30" spans="1:20" x14ac:dyDescent="0.25">
      <c r="A30" s="116"/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29" t="str">
        <f ca="1">INDIRECT("'"&amp;$P$1&amp;"'!P31")</f>
        <v>D1, мм</v>
      </c>
      <c r="Q30" s="279"/>
      <c r="R30" s="280"/>
      <c r="S30" s="281"/>
      <c r="T30" s="116"/>
    </row>
    <row r="31" spans="1:20" x14ac:dyDescent="0.25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29" t="str">
        <f ca="1">INDIRECT("'"&amp;$P$1&amp;"'!P32")</f>
        <v>D2, мм</v>
      </c>
      <c r="Q31" s="279"/>
      <c r="R31" s="280"/>
      <c r="S31" s="281"/>
      <c r="T31" s="116"/>
    </row>
    <row r="32" spans="1:20" x14ac:dyDescent="0.25">
      <c r="A32" s="116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29" t="str">
        <f ca="1">INDIRECT("'"&amp;$P$1&amp;"'!P33")</f>
        <v>D3, мм</v>
      </c>
      <c r="Q32" s="279"/>
      <c r="R32" s="280"/>
      <c r="S32" s="281"/>
      <c r="T32" s="116"/>
    </row>
    <row r="33" spans="1:20" x14ac:dyDescent="0.25">
      <c r="A33" s="116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29" t="str">
        <f ca="1">INDIRECT("'"&amp;$P$1&amp;"'!P34")</f>
        <v>D4, мм</v>
      </c>
      <c r="Q33" s="279"/>
      <c r="R33" s="280"/>
      <c r="S33" s="281"/>
      <c r="T33" s="116"/>
    </row>
    <row r="34" spans="1:20" x14ac:dyDescent="0.25">
      <c r="A34" s="116"/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29" t="str">
        <f ca="1">INDIRECT("'"&amp;$P$1&amp;"'!P35")</f>
        <v>D5, мм</v>
      </c>
      <c r="Q34" s="279"/>
      <c r="R34" s="280"/>
      <c r="S34" s="281"/>
      <c r="T34" s="116"/>
    </row>
    <row r="35" spans="1:20" x14ac:dyDescent="0.25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29" t="str">
        <f ca="1">INDIRECT("'"&amp;$P$1&amp;"'!P36")</f>
        <v>D6, мм</v>
      </c>
      <c r="Q35" s="279"/>
      <c r="R35" s="280"/>
      <c r="S35" s="281"/>
      <c r="T35" s="116"/>
    </row>
    <row r="36" spans="1:20" x14ac:dyDescent="0.25">
      <c r="A36" s="116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29" t="str">
        <f ca="1">INDIRECT("'"&amp;$P$1&amp;"'!P37")</f>
        <v>h, мм</v>
      </c>
      <c r="Q36" s="279"/>
      <c r="R36" s="280"/>
      <c r="S36" s="281"/>
      <c r="T36" s="116"/>
    </row>
    <row r="37" spans="1:20" x14ac:dyDescent="0.25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29" t="str">
        <f ca="1">INDIRECT("'"&amp;$P$1&amp;"'!P38")</f>
        <v>H1, мм</v>
      </c>
      <c r="Q37" s="279"/>
      <c r="R37" s="280"/>
      <c r="S37" s="281"/>
      <c r="T37" s="116"/>
    </row>
    <row r="38" spans="1:20" x14ac:dyDescent="0.25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29" t="str">
        <f ca="1">INDIRECT("'"&amp;$P$1&amp;"'!P39")</f>
        <v>H2, мм</v>
      </c>
      <c r="Q38" s="279"/>
      <c r="R38" s="280"/>
      <c r="S38" s="281"/>
      <c r="T38" s="116"/>
    </row>
    <row r="39" spans="1:20" x14ac:dyDescent="0.25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29" t="str">
        <f ca="1">INDIRECT("'"&amp;$P$1&amp;"'!P40")</f>
        <v>H3, мм</v>
      </c>
      <c r="Q39" s="279"/>
      <c r="R39" s="280"/>
      <c r="S39" s="281"/>
      <c r="T39" s="116"/>
    </row>
    <row r="40" spans="1:20" x14ac:dyDescent="0.25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29" t="str">
        <f ca="1">INDIRECT("'"&amp;$P$1&amp;"'!P41")</f>
        <v>H4, мм</v>
      </c>
      <c r="Q40" s="279"/>
      <c r="R40" s="280"/>
      <c r="S40" s="281"/>
      <c r="T40" s="116"/>
    </row>
    <row r="41" spans="1:20" x14ac:dyDescent="0.25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29" t="str">
        <f ca="1">INDIRECT("'"&amp;$P$1&amp;"'!P42")</f>
        <v>H5, мм</v>
      </c>
      <c r="Q41" s="279"/>
      <c r="R41" s="280"/>
      <c r="S41" s="281"/>
      <c r="T41" s="116"/>
    </row>
    <row r="42" spans="1:20" x14ac:dyDescent="0.25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29" t="str">
        <f ca="1">INDIRECT("'"&amp;$P$1&amp;"'!P43")</f>
        <v>H6, мм</v>
      </c>
      <c r="Q42" s="279"/>
      <c r="R42" s="280"/>
      <c r="S42" s="281"/>
      <c r="T42" s="116"/>
    </row>
    <row r="43" spans="1:20" x14ac:dyDescent="0.25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29" t="str">
        <f ca="1">INDIRECT("'"&amp;$P$1&amp;"'!P44")</f>
        <v>H7, мм</v>
      </c>
      <c r="Q43" s="279"/>
      <c r="R43" s="280"/>
      <c r="S43" s="281"/>
      <c r="T43" s="116"/>
    </row>
    <row r="44" spans="1:20" x14ac:dyDescent="0.25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29" t="str">
        <f ca="1">INDIRECT("'"&amp;$P$1&amp;"'!P45")</f>
        <v>H8, мм</v>
      </c>
      <c r="Q44" s="246"/>
      <c r="R44" s="246"/>
      <c r="S44" s="247"/>
      <c r="T44" s="116"/>
    </row>
    <row r="45" spans="1:20" x14ac:dyDescent="0.25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29" t="str">
        <f ca="1">INDIRECT("'"&amp;$P$1&amp;"'!P46")</f>
        <v>a, мм</v>
      </c>
      <c r="Q45" s="246"/>
      <c r="R45" s="246"/>
      <c r="S45" s="247"/>
      <c r="T45" s="116"/>
    </row>
    <row r="46" spans="1:20" x14ac:dyDescent="0.25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29" t="str">
        <f ca="1">INDIRECT("'"&amp;$P$1&amp;"'!P47")</f>
        <v>k1, мм</v>
      </c>
      <c r="Q46" s="246"/>
      <c r="R46" s="246"/>
      <c r="S46" s="247"/>
      <c r="T46" s="116"/>
    </row>
    <row r="47" spans="1:20" x14ac:dyDescent="0.25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29" t="str">
        <f ca="1">INDIRECT("'"&amp;$P$1&amp;"'!P48")</f>
        <v>k2, мм</v>
      </c>
      <c r="Q47" s="246"/>
      <c r="R47" s="246"/>
      <c r="S47" s="247"/>
      <c r="T47" s="116"/>
    </row>
    <row r="48" spans="1:20" x14ac:dyDescent="0.25">
      <c r="A48" s="116"/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29" t="str">
        <f ca="1">INDIRECT("'"&amp;$P$1&amp;"'!P49")</f>
        <v>s, мм</v>
      </c>
      <c r="Q48" s="246"/>
      <c r="R48" s="246"/>
      <c r="S48" s="247"/>
      <c r="T48" s="116"/>
    </row>
    <row r="49" spans="1:20" ht="28.5" x14ac:dyDescent="0.25">
      <c r="A49" s="116"/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35" t="str">
        <f ca="1">INDIRECT("'"&amp;$P$1&amp;"'!P50")</f>
        <v>Тип отверстия для кабеля</v>
      </c>
      <c r="Q49" s="187"/>
      <c r="R49" s="207"/>
      <c r="S49" s="188"/>
      <c r="T49" s="116"/>
    </row>
    <row r="50" spans="1:20" ht="15.75" thickBot="1" x14ac:dyDescent="0.3">
      <c r="A50" s="116"/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32" t="str">
        <f ca="1">INDIRECT("'"&amp;$P$1&amp;"'!P51")</f>
        <v xml:space="preserve"> </v>
      </c>
      <c r="Q50" s="289"/>
      <c r="R50" s="289"/>
      <c r="S50" s="290"/>
      <c r="T50" s="116"/>
    </row>
    <row r="51" spans="1:20" x14ac:dyDescent="0.25">
      <c r="A51" s="116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</row>
    <row r="52" spans="1:20" ht="20.100000000000001" customHeight="1" thickBot="1" x14ac:dyDescent="0.3">
      <c r="A52" s="272" t="str">
        <f ca="1">INDIRECT("'"&amp;$P$1&amp;"'!A53")</f>
        <v>Бетонная емкость тип III</v>
      </c>
      <c r="B52" s="272"/>
      <c r="C52" s="272"/>
      <c r="D52" s="272"/>
      <c r="E52" s="272"/>
      <c r="F52" s="272"/>
      <c r="G52" s="272"/>
      <c r="H52" s="272"/>
      <c r="I52" s="272"/>
      <c r="J52" s="272"/>
      <c r="K52" s="272"/>
      <c r="L52" s="272"/>
      <c r="M52" s="272"/>
      <c r="N52" s="272"/>
      <c r="O52" s="272"/>
      <c r="P52" s="116"/>
      <c r="Q52" s="116"/>
      <c r="R52" s="116"/>
      <c r="S52" s="116"/>
      <c r="T52" s="116"/>
    </row>
    <row r="53" spans="1:20" x14ac:dyDescent="0.25">
      <c r="A53" s="116"/>
      <c r="B53" s="116"/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03" t="str">
        <f ca="1">INDIRECT("'"&amp;$P$1&amp;"'!P54")</f>
        <v>B, мм</v>
      </c>
      <c r="Q53" s="285"/>
      <c r="R53" s="286"/>
      <c r="S53" s="287"/>
      <c r="T53" s="116"/>
    </row>
    <row r="54" spans="1:20" x14ac:dyDescent="0.25">
      <c r="A54" s="116"/>
      <c r="B54" s="116"/>
      <c r="C54" s="116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29" t="str">
        <f ca="1">INDIRECT("'"&amp;$P$1&amp;"'!P55")</f>
        <v>D1, мм</v>
      </c>
      <c r="Q54" s="189"/>
      <c r="R54" s="288"/>
      <c r="S54" s="190"/>
      <c r="T54" s="116"/>
    </row>
    <row r="55" spans="1:20" x14ac:dyDescent="0.25">
      <c r="A55" s="116"/>
      <c r="B55" s="116"/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29" t="str">
        <f ca="1">INDIRECT("'"&amp;$P$1&amp;"'!P56")</f>
        <v>D2, мм</v>
      </c>
      <c r="Q55" s="189"/>
      <c r="R55" s="288"/>
      <c r="S55" s="190"/>
      <c r="T55" s="116"/>
    </row>
    <row r="56" spans="1:20" x14ac:dyDescent="0.25">
      <c r="A56" s="116"/>
      <c r="B56" s="116"/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29" t="str">
        <f ca="1">INDIRECT("'"&amp;$P$1&amp;"'!P57")</f>
        <v>D3, мм</v>
      </c>
      <c r="Q56" s="142"/>
      <c r="R56" s="143"/>
      <c r="S56" s="144"/>
      <c r="T56" s="116"/>
    </row>
    <row r="57" spans="1:20" x14ac:dyDescent="0.25">
      <c r="A57" s="116"/>
      <c r="B57" s="116"/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29" t="str">
        <f ca="1">INDIRECT("'"&amp;$P$1&amp;"'!P58")</f>
        <v>D4, мм</v>
      </c>
      <c r="Q57" s="189"/>
      <c r="R57" s="288"/>
      <c r="S57" s="190"/>
      <c r="T57" s="116"/>
    </row>
    <row r="58" spans="1:20" x14ac:dyDescent="0.25">
      <c r="A58" s="116"/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29" t="str">
        <f ca="1">INDIRECT("'"&amp;$P$1&amp;"'!P59")</f>
        <v>D5, мм</v>
      </c>
      <c r="Q58" s="189"/>
      <c r="R58" s="288"/>
      <c r="S58" s="190"/>
      <c r="T58" s="116"/>
    </row>
    <row r="59" spans="1:20" x14ac:dyDescent="0.25">
      <c r="A59" s="116"/>
      <c r="B59" s="116"/>
      <c r="C59" s="116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  <c r="O59" s="116"/>
      <c r="P59" s="29" t="str">
        <f ca="1">INDIRECT("'"&amp;$P$1&amp;"'!P60")</f>
        <v>DN</v>
      </c>
      <c r="Q59" s="138"/>
      <c r="R59" s="162" t="s">
        <v>213</v>
      </c>
      <c r="S59" s="139"/>
      <c r="T59" s="116"/>
    </row>
    <row r="60" spans="1:20" x14ac:dyDescent="0.25">
      <c r="A60" s="116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29" t="str">
        <f ca="1">INDIRECT("'"&amp;$P$1&amp;"'!P61")</f>
        <v>h, мм</v>
      </c>
      <c r="Q60" s="189"/>
      <c r="R60" s="288"/>
      <c r="S60" s="190"/>
      <c r="T60" s="116"/>
    </row>
    <row r="61" spans="1:20" x14ac:dyDescent="0.25">
      <c r="A61" s="116"/>
      <c r="B61" s="116"/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6"/>
      <c r="P61" s="29" t="str">
        <f ca="1">INDIRECT("'"&amp;$P$1&amp;"'!P62")</f>
        <v>H1, мм</v>
      </c>
      <c r="Q61" s="189"/>
      <c r="R61" s="288"/>
      <c r="S61" s="190"/>
      <c r="T61" s="116"/>
    </row>
    <row r="62" spans="1:20" x14ac:dyDescent="0.25">
      <c r="A62" s="116"/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29" t="str">
        <f ca="1">INDIRECT("'"&amp;$P$1&amp;"'!P63")</f>
        <v>H2, мм</v>
      </c>
      <c r="Q62" s="189"/>
      <c r="R62" s="288"/>
      <c r="S62" s="190"/>
      <c r="T62" s="116"/>
    </row>
    <row r="63" spans="1:20" x14ac:dyDescent="0.25">
      <c r="A63" s="116"/>
      <c r="B63" s="116"/>
      <c r="C63" s="116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29" t="str">
        <f ca="1">INDIRECT("'"&amp;$P$1&amp;"'!P64")</f>
        <v>H3, мм</v>
      </c>
      <c r="Q63" s="189"/>
      <c r="R63" s="288"/>
      <c r="S63" s="190"/>
      <c r="T63" s="116"/>
    </row>
    <row r="64" spans="1:20" x14ac:dyDescent="0.25">
      <c r="A64" s="116"/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29" t="str">
        <f ca="1">INDIRECT("'"&amp;$P$1&amp;"'!P65")</f>
        <v>a, мм</v>
      </c>
      <c r="Q64" s="189"/>
      <c r="R64" s="288"/>
      <c r="S64" s="190"/>
      <c r="T64" s="116"/>
    </row>
    <row r="65" spans="1:21" x14ac:dyDescent="0.25">
      <c r="A65" s="116"/>
      <c r="B65" s="11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29" t="str">
        <f ca="1">INDIRECT("'"&amp;$P$1&amp;"'!P66")</f>
        <v>k1, мм</v>
      </c>
      <c r="Q65" s="189"/>
      <c r="R65" s="288"/>
      <c r="S65" s="190"/>
      <c r="T65" s="116"/>
    </row>
    <row r="66" spans="1:21" x14ac:dyDescent="0.25">
      <c r="A66" s="116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29" t="str">
        <f ca="1">INDIRECT("'"&amp;$P$1&amp;"'!P67")</f>
        <v>k2, мм</v>
      </c>
      <c r="Q66" s="145"/>
      <c r="R66" s="146"/>
      <c r="S66" s="147"/>
      <c r="T66" s="116"/>
    </row>
    <row r="67" spans="1:21" ht="15.75" thickBot="1" x14ac:dyDescent="0.3">
      <c r="A67" s="116"/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32" t="str">
        <f ca="1">INDIRECT("'"&amp;$P$1&amp;"'!P68")</f>
        <v>s, мм</v>
      </c>
      <c r="Q67" s="262"/>
      <c r="R67" s="292"/>
      <c r="S67" s="263"/>
      <c r="T67" s="116"/>
    </row>
    <row r="68" spans="1:21" x14ac:dyDescent="0.25">
      <c r="A68" s="136"/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</row>
    <row r="69" spans="1:21" x14ac:dyDescent="0.25">
      <c r="A69" s="116"/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</row>
    <row r="70" spans="1:21" x14ac:dyDescent="0.25">
      <c r="A70" s="291" t="str">
        <f ca="1">INDIRECT("'"&amp;$P$1&amp;"'!A71")</f>
        <v>ЛОТОК ДЛЯ СБОРА ОСВЕТЛЕННОЙ ВОДЫ</v>
      </c>
      <c r="B70" s="291"/>
      <c r="C70" s="291"/>
      <c r="D70" s="291"/>
      <c r="E70" s="291"/>
      <c r="F70" s="291"/>
      <c r="G70" s="291"/>
      <c r="H70" s="291"/>
      <c r="I70" s="291"/>
      <c r="J70" s="291"/>
      <c r="K70" s="291"/>
      <c r="L70" s="291"/>
      <c r="M70" s="291"/>
      <c r="N70" s="291"/>
      <c r="O70" s="291"/>
      <c r="P70" s="116"/>
      <c r="Q70" s="116"/>
      <c r="R70" s="116"/>
      <c r="S70" s="116"/>
      <c r="T70" s="116"/>
      <c r="U70" s="116"/>
    </row>
    <row r="71" spans="1:21" x14ac:dyDescent="0.25">
      <c r="A71" s="116"/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</row>
    <row r="72" spans="1:21" ht="20.100000000000001" customHeight="1" x14ac:dyDescent="0.25">
      <c r="A72" s="116"/>
      <c r="B72" s="272" t="str">
        <f ca="1">INDIRECT("'"&amp;$P$1&amp;"'!B73")</f>
        <v>Односторонний</v>
      </c>
      <c r="C72" s="272"/>
      <c r="D72" s="272"/>
      <c r="E72" s="272"/>
      <c r="F72" s="116"/>
      <c r="G72" s="116"/>
      <c r="H72" s="116"/>
      <c r="I72" s="272" t="str">
        <f ca="1">INDIRECT("'"&amp;$P$1&amp;"'!I73")</f>
        <v>Двусторонний</v>
      </c>
      <c r="J72" s="272"/>
      <c r="K72" s="272"/>
      <c r="L72" s="272"/>
      <c r="N72" s="116"/>
      <c r="O72" s="116"/>
      <c r="P72" s="116"/>
      <c r="Q72" s="116"/>
      <c r="R72" s="116"/>
      <c r="S72" s="116"/>
      <c r="T72" s="116"/>
      <c r="U72" s="116"/>
    </row>
    <row r="73" spans="1:21" ht="15.75" thickBot="1" x14ac:dyDescent="0.3">
      <c r="A73" s="116"/>
      <c r="B73" s="116"/>
      <c r="C73" s="116"/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</row>
    <row r="74" spans="1:21" x14ac:dyDescent="0.25">
      <c r="A74" s="116"/>
      <c r="B74" s="116"/>
      <c r="C74" s="116"/>
      <c r="D74" s="116"/>
      <c r="E74" s="116"/>
      <c r="F74" s="103" t="str">
        <f ca="1">INDIRECT("'"&amp;$P$1&amp;"'!F75")</f>
        <v>B, мм</v>
      </c>
      <c r="G74" s="151">
        <v>200</v>
      </c>
      <c r="H74" s="116"/>
      <c r="I74" s="116"/>
      <c r="J74" s="116"/>
      <c r="K74" s="116"/>
      <c r="L74" s="116"/>
      <c r="M74" s="103" t="str">
        <f ca="1">INDIRECT("'"&amp;$P$1&amp;"'!M75")</f>
        <v>A, мм</v>
      </c>
      <c r="N74" s="151"/>
      <c r="O74" s="116"/>
      <c r="P74" s="116"/>
      <c r="Q74" s="116"/>
      <c r="R74" s="116"/>
      <c r="S74" s="116"/>
      <c r="T74" s="116"/>
      <c r="U74" s="116"/>
    </row>
    <row r="75" spans="1:21" x14ac:dyDescent="0.25">
      <c r="A75" s="116"/>
      <c r="B75" s="116"/>
      <c r="C75" s="116"/>
      <c r="D75" s="116"/>
      <c r="E75" s="116"/>
      <c r="F75" s="29" t="str">
        <f ca="1">INDIRECT("'"&amp;$P$1&amp;"'!F76")</f>
        <v>C, мм</v>
      </c>
      <c r="G75" s="141"/>
      <c r="H75" s="116"/>
      <c r="I75" s="116"/>
      <c r="J75" s="116"/>
      <c r="K75" s="116"/>
      <c r="L75" s="116"/>
      <c r="M75" s="29" t="str">
        <f ca="1">INDIRECT("'"&amp;$P$1&amp;"'!M76")</f>
        <v>B, мм</v>
      </c>
      <c r="N75" s="141">
        <v>200</v>
      </c>
      <c r="O75" s="116"/>
      <c r="P75" s="116"/>
      <c r="Q75" s="116"/>
      <c r="R75" s="116"/>
      <c r="S75" s="116"/>
      <c r="T75" s="116"/>
      <c r="U75" s="116"/>
    </row>
    <row r="76" spans="1:21" x14ac:dyDescent="0.25">
      <c r="A76" s="116"/>
      <c r="B76" s="116"/>
      <c r="C76" s="116"/>
      <c r="D76" s="116"/>
      <c r="E76" s="116"/>
      <c r="F76" s="29" t="str">
        <f ca="1">INDIRECT("'"&amp;$P$1&amp;"'!F77")</f>
        <v>Hb, мм</v>
      </c>
      <c r="G76" s="141">
        <v>500</v>
      </c>
      <c r="H76" s="116"/>
      <c r="I76" s="116"/>
      <c r="J76" s="116"/>
      <c r="K76" s="116"/>
      <c r="L76" s="116"/>
      <c r="M76" s="29" t="str">
        <f ca="1">INDIRECT("'"&amp;$P$1&amp;"'!M77")</f>
        <v>C, мм</v>
      </c>
      <c r="N76" s="141"/>
      <c r="O76" s="116"/>
      <c r="P76" s="116"/>
      <c r="Q76" s="116"/>
      <c r="R76" s="116"/>
      <c r="S76" s="116"/>
      <c r="T76" s="116"/>
      <c r="U76" s="116"/>
    </row>
    <row r="77" spans="1:21" x14ac:dyDescent="0.25">
      <c r="A77" s="116"/>
      <c r="B77" s="116"/>
      <c r="C77" s="116"/>
      <c r="D77" s="116"/>
      <c r="E77" s="116"/>
      <c r="F77" s="29" t="str">
        <f ca="1">INDIRECT("'"&amp;$P$1&amp;"'!F78")</f>
        <v>Hl, мм</v>
      </c>
      <c r="G77" s="141"/>
      <c r="H77" s="116"/>
      <c r="I77" s="116"/>
      <c r="J77" s="116"/>
      <c r="K77" s="116"/>
      <c r="L77" s="116"/>
      <c r="M77" s="29" t="str">
        <f ca="1">INDIRECT("'"&amp;$P$1&amp;"'!M78")</f>
        <v>Hb, мм</v>
      </c>
      <c r="N77" s="141">
        <v>500</v>
      </c>
      <c r="O77" s="116"/>
      <c r="P77" s="116"/>
      <c r="Q77" s="116"/>
      <c r="R77" s="116"/>
      <c r="S77" s="116"/>
      <c r="T77" s="116"/>
      <c r="U77" s="116"/>
    </row>
    <row r="78" spans="1:21" x14ac:dyDescent="0.25">
      <c r="A78" s="116"/>
      <c r="B78" s="116"/>
      <c r="C78" s="116"/>
      <c r="D78" s="116"/>
      <c r="E78" s="116"/>
      <c r="F78" s="29" t="str">
        <f ca="1">INDIRECT("'"&amp;$P$1&amp;"'!F79")</f>
        <v>Wl, мм</v>
      </c>
      <c r="G78" s="141"/>
      <c r="H78" s="116"/>
      <c r="I78" s="116"/>
      <c r="J78" s="116"/>
      <c r="K78" s="116"/>
      <c r="L78" s="116"/>
      <c r="M78" s="29" t="str">
        <f ca="1">INDIRECT("'"&amp;$P$1&amp;"'!M79")</f>
        <v>Hl, мм</v>
      </c>
      <c r="N78" s="141"/>
      <c r="O78" s="116"/>
      <c r="P78" s="116"/>
      <c r="Q78" s="116"/>
      <c r="R78" s="116"/>
      <c r="S78" s="116"/>
      <c r="T78" s="116"/>
      <c r="U78" s="116"/>
    </row>
    <row r="79" spans="1:21" x14ac:dyDescent="0.25">
      <c r="A79" s="116"/>
      <c r="B79" s="116"/>
      <c r="C79" s="116"/>
      <c r="D79" s="116"/>
      <c r="E79" s="116"/>
      <c r="F79" s="29" t="str">
        <f ca="1">INDIRECT("'"&amp;$P$1&amp;"'!F80")</f>
        <v>h1, мм</v>
      </c>
      <c r="G79" s="141"/>
      <c r="H79" s="116"/>
      <c r="I79" s="116"/>
      <c r="J79" s="116"/>
      <c r="K79" s="116"/>
      <c r="L79" s="116"/>
      <c r="M79" s="29" t="str">
        <f ca="1">INDIRECT("'"&amp;$P$1&amp;"'!M80")</f>
        <v>Wl, мм</v>
      </c>
      <c r="N79" s="141"/>
      <c r="O79" s="116"/>
      <c r="P79" s="116"/>
      <c r="Q79" s="116"/>
      <c r="R79" s="116"/>
      <c r="S79" s="116"/>
      <c r="T79" s="116"/>
      <c r="U79" s="116"/>
    </row>
    <row r="80" spans="1:21" x14ac:dyDescent="0.25">
      <c r="A80" s="116"/>
      <c r="B80" s="116"/>
      <c r="C80" s="116"/>
      <c r="D80" s="116"/>
      <c r="E80" s="116"/>
      <c r="F80" s="29" t="str">
        <f ca="1">INDIRECT("'"&amp;$P$1&amp;"'!F81")</f>
        <v>h2, мм</v>
      </c>
      <c r="G80" s="141"/>
      <c r="H80" s="116"/>
      <c r="I80" s="116"/>
      <c r="J80" s="116"/>
      <c r="K80" s="116"/>
      <c r="L80" s="116"/>
      <c r="M80" s="29" t="str">
        <f ca="1">INDIRECT("'"&amp;$P$1&amp;"'!M81")</f>
        <v>h1, мм</v>
      </c>
      <c r="N80" s="141"/>
      <c r="O80" s="116"/>
      <c r="P80" s="116"/>
      <c r="Q80" s="116"/>
      <c r="R80" s="116"/>
      <c r="S80" s="116"/>
      <c r="T80" s="116"/>
      <c r="U80" s="116"/>
    </row>
    <row r="81" spans="1:21" ht="15.75" thickBot="1" x14ac:dyDescent="0.3">
      <c r="A81" s="116"/>
      <c r="B81" s="116"/>
      <c r="C81" s="116"/>
      <c r="D81" s="116"/>
      <c r="E81" s="116"/>
      <c r="F81" s="32" t="str">
        <f ca="1">INDIRECT("'"&amp;$P$1&amp;"'!F82")</f>
        <v>h3, мм</v>
      </c>
      <c r="G81" s="152"/>
      <c r="H81" s="116"/>
      <c r="I81" s="116"/>
      <c r="J81" s="116"/>
      <c r="K81" s="116"/>
      <c r="L81" s="116"/>
      <c r="M81" s="29" t="str">
        <f ca="1">INDIRECT("'"&amp;$P$1&amp;"'!M82")</f>
        <v>h2, мм</v>
      </c>
      <c r="N81" s="141"/>
      <c r="O81" s="116"/>
      <c r="P81" s="116"/>
      <c r="Q81" s="116"/>
      <c r="R81" s="116"/>
      <c r="S81" s="116"/>
      <c r="T81" s="116"/>
      <c r="U81" s="116"/>
    </row>
    <row r="82" spans="1:21" ht="15.75" thickBot="1" x14ac:dyDescent="0.3">
      <c r="A82" s="116"/>
      <c r="B82" s="116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32" t="str">
        <f ca="1">INDIRECT("'"&amp;$P$1&amp;"'!M83")</f>
        <v>h3, мм</v>
      </c>
      <c r="N82" s="152"/>
      <c r="O82" s="116"/>
      <c r="P82" s="116"/>
      <c r="Q82" s="116"/>
      <c r="R82" s="116"/>
      <c r="S82" s="116"/>
      <c r="T82" s="116"/>
      <c r="U82" s="116"/>
    </row>
    <row r="83" spans="1:21" x14ac:dyDescent="0.25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</row>
    <row r="84" spans="1:21" x14ac:dyDescent="0.25">
      <c r="A84" s="116"/>
      <c r="B84" s="116"/>
      <c r="C84" s="116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</row>
    <row r="85" spans="1:21" x14ac:dyDescent="0.25">
      <c r="A85" s="116"/>
      <c r="B85" s="116"/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</row>
    <row r="86" spans="1:21" x14ac:dyDescent="0.25">
      <c r="A86" s="116"/>
      <c r="B86" s="116"/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</row>
    <row r="87" spans="1:21" x14ac:dyDescent="0.25">
      <c r="A87" s="116"/>
      <c r="B87" s="116"/>
      <c r="C87" s="116"/>
      <c r="D87" s="116"/>
      <c r="E87" s="116"/>
      <c r="F87" s="116"/>
      <c r="G87" s="116"/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</row>
    <row r="88" spans="1:21" x14ac:dyDescent="0.25">
      <c r="A88" s="116"/>
      <c r="B88" s="116"/>
      <c r="C88" s="116"/>
      <c r="D88" s="116"/>
      <c r="E88" s="116"/>
      <c r="F88" s="116"/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</row>
    <row r="89" spans="1:21" x14ac:dyDescent="0.25">
      <c r="A89" s="116"/>
      <c r="B89" s="116"/>
      <c r="C89" s="136"/>
      <c r="D89" s="136"/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x14ac:dyDescent="0.25">
      <c r="A90" s="150"/>
      <c r="B90" s="150"/>
      <c r="C90" s="116"/>
      <c r="D90" s="116"/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</row>
    <row r="91" spans="1:21" x14ac:dyDescent="0.25">
      <c r="A91" s="291" t="str">
        <f ca="1">INDIRECT("'"&amp;$P$1&amp;"'!A92")</f>
        <v>ЗУБЧАТЫЙ ПЕРЕЛИВ</v>
      </c>
      <c r="B91" s="291"/>
      <c r="C91" s="291"/>
      <c r="D91" s="291"/>
      <c r="E91" s="291"/>
      <c r="F91" s="291"/>
      <c r="G91" s="291"/>
      <c r="H91" s="291"/>
      <c r="I91" s="291"/>
      <c r="J91" s="291"/>
      <c r="K91" s="291"/>
      <c r="L91" s="291"/>
      <c r="M91" s="291"/>
      <c r="N91" s="291"/>
      <c r="O91" s="291"/>
      <c r="P91" s="116"/>
      <c r="Q91" s="116"/>
      <c r="R91" s="116"/>
      <c r="S91" s="116"/>
      <c r="T91" s="116"/>
      <c r="U91" s="116"/>
    </row>
    <row r="92" spans="1:21" x14ac:dyDescent="0.25">
      <c r="A92" s="116"/>
      <c r="B92" s="116"/>
      <c r="C92" s="116"/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</row>
    <row r="93" spans="1:21" s="116" customFormat="1" x14ac:dyDescent="0.25">
      <c r="B93" s="291" t="str">
        <f ca="1">INDIRECT("'"&amp;$P$1&amp;"'!B94")</f>
        <v xml:space="preserve">DIN 19558, тип A
</v>
      </c>
      <c r="C93" s="291"/>
      <c r="D93" s="291"/>
      <c r="E93" s="291"/>
      <c r="I93" s="291" t="str">
        <f ca="1">INDIRECT("'"&amp;$P$1&amp;"'!I94")</f>
        <v xml:space="preserve">DIN 19558, тип B
</v>
      </c>
      <c r="J93" s="291"/>
      <c r="K93" s="291"/>
      <c r="L93" s="291"/>
    </row>
    <row r="94" spans="1:21" s="116" customFormat="1" x14ac:dyDescent="0.25"/>
    <row r="95" spans="1:21" x14ac:dyDescent="0.25">
      <c r="A95" s="116"/>
      <c r="B95" s="116"/>
      <c r="C95" s="116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</row>
    <row r="96" spans="1:21" x14ac:dyDescent="0.25">
      <c r="A96" s="116"/>
      <c r="B96" s="116"/>
      <c r="C96" s="116"/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</row>
    <row r="97" spans="1:21" x14ac:dyDescent="0.25">
      <c r="A97" s="116"/>
      <c r="B97" s="116"/>
      <c r="C97" s="116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</row>
    <row r="98" spans="1:21" x14ac:dyDescent="0.25">
      <c r="A98" s="116"/>
      <c r="B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</row>
    <row r="99" spans="1:21" x14ac:dyDescent="0.25">
      <c r="A99" s="116"/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</row>
    <row r="100" spans="1:21" x14ac:dyDescent="0.25">
      <c r="A100" s="116"/>
      <c r="B100" s="116"/>
      <c r="C100" s="116"/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</row>
    <row r="101" spans="1:21" x14ac:dyDescent="0.25">
      <c r="A101" s="116"/>
      <c r="B101" s="116"/>
      <c r="C101" s="116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</row>
    <row r="102" spans="1:21" x14ac:dyDescent="0.25">
      <c r="A102" s="116"/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</row>
    <row r="103" spans="1:21" x14ac:dyDescent="0.25">
      <c r="A103" s="116"/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</row>
    <row r="104" spans="1:21" x14ac:dyDescent="0.25">
      <c r="A104" s="116"/>
      <c r="B104" s="116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</row>
    <row r="105" spans="1:21" x14ac:dyDescent="0.25">
      <c r="A105" s="116"/>
      <c r="B105" s="116"/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</row>
    <row r="106" spans="1:21" ht="15" customHeight="1" x14ac:dyDescent="0.25">
      <c r="A106" s="116"/>
      <c r="B106" s="291" t="str">
        <f ca="1">INDIRECT("'"&amp;$P$1&amp;"'!B107")</f>
        <v xml:space="preserve">По стандарту ЭКОТОН
</v>
      </c>
      <c r="C106" s="291"/>
      <c r="D106" s="291"/>
      <c r="E106" s="291"/>
      <c r="F106" s="116"/>
      <c r="G106" s="116"/>
      <c r="H106" s="116"/>
      <c r="I106" s="291" t="str">
        <f ca="1">INDIRECT("'"&amp;$P$1&amp;"'!I107")</f>
        <v xml:space="preserve">Индивидуальное исполнение
</v>
      </c>
      <c r="J106" s="291"/>
      <c r="K106" s="291"/>
      <c r="L106" s="291"/>
      <c r="M106" s="116"/>
      <c r="N106" s="116"/>
      <c r="O106" s="116"/>
      <c r="P106" s="116"/>
      <c r="Q106" s="116"/>
      <c r="R106" s="116"/>
      <c r="S106" s="116"/>
      <c r="T106" s="116"/>
      <c r="U106" s="116"/>
    </row>
    <row r="107" spans="1:21" ht="15.75" thickBot="1" x14ac:dyDescent="0.3">
      <c r="A107" s="116"/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</row>
    <row r="108" spans="1:21" x14ac:dyDescent="0.25">
      <c r="A108" s="116"/>
      <c r="B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03" t="str">
        <f ca="1">INDIRECT("'"&amp;$P$1&amp;"'!M109")</f>
        <v>α, °</v>
      </c>
      <c r="N108" s="151"/>
      <c r="O108" s="116"/>
      <c r="P108" s="116"/>
      <c r="Q108" s="116"/>
      <c r="R108" s="116"/>
      <c r="S108" s="116"/>
      <c r="T108" s="116"/>
      <c r="U108" s="116"/>
    </row>
    <row r="109" spans="1:21" x14ac:dyDescent="0.25">
      <c r="A109" s="116"/>
      <c r="B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29" t="str">
        <f ca="1">INDIRECT("'"&amp;$P$1&amp;"'!M110")</f>
        <v>D, мм</v>
      </c>
      <c r="N109" s="141"/>
      <c r="O109" s="116"/>
      <c r="P109" s="116"/>
      <c r="Q109" s="116"/>
      <c r="R109" s="116"/>
      <c r="S109" s="116"/>
      <c r="T109" s="116"/>
      <c r="U109" s="116"/>
    </row>
    <row r="110" spans="1:21" x14ac:dyDescent="0.25">
      <c r="A110" s="116"/>
      <c r="B110" s="116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29" t="str">
        <f ca="1">INDIRECT("'"&amp;$P$1&amp;"'!M111")</f>
        <v>E, мм</v>
      </c>
      <c r="N110" s="141"/>
      <c r="O110" s="116"/>
      <c r="P110" s="116"/>
      <c r="Q110" s="116"/>
      <c r="R110" s="116"/>
      <c r="S110" s="116"/>
      <c r="T110" s="116"/>
      <c r="U110" s="116"/>
    </row>
    <row r="111" spans="1:21" ht="15.75" thickBot="1" x14ac:dyDescent="0.3">
      <c r="A111" s="116"/>
      <c r="B111" s="116"/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32" t="str">
        <f ca="1">INDIRECT("'"&amp;$P$1&amp;"'!M112")</f>
        <v>h, мм</v>
      </c>
      <c r="N111" s="152"/>
      <c r="O111" s="116"/>
      <c r="P111" s="116"/>
      <c r="Q111" s="116"/>
      <c r="R111" s="116"/>
      <c r="S111" s="116"/>
      <c r="T111" s="116"/>
      <c r="U111" s="116"/>
    </row>
    <row r="112" spans="1:21" x14ac:dyDescent="0.25">
      <c r="A112" s="116"/>
      <c r="B112" s="116"/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</row>
    <row r="113" spans="1:23" x14ac:dyDescent="0.25">
      <c r="A113" s="116"/>
      <c r="B113" s="116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</row>
    <row r="114" spans="1:23" x14ac:dyDescent="0.25">
      <c r="A114" s="116"/>
      <c r="B114" s="116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</row>
    <row r="115" spans="1:23" x14ac:dyDescent="0.25">
      <c r="A115" s="116"/>
      <c r="B115" s="116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</row>
    <row r="116" spans="1:23" x14ac:dyDescent="0.25">
      <c r="A116" s="116"/>
      <c r="B116" s="116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</row>
    <row r="117" spans="1:23" x14ac:dyDescent="0.25">
      <c r="A117" s="116"/>
      <c r="B117" s="116"/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16"/>
      <c r="W117" s="116"/>
    </row>
    <row r="118" spans="1:23" x14ac:dyDescent="0.25">
      <c r="A118" s="150"/>
      <c r="B118" s="150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</row>
    <row r="119" spans="1:23" x14ac:dyDescent="0.25">
      <c r="A119" s="291" t="str">
        <f ca="1">INDIRECT("'"&amp;$P$1&amp;"'!A120")</f>
        <v>ОТВОД ОСВЕТЛЕННОЙ ВОДЫ</v>
      </c>
      <c r="B119" s="291"/>
      <c r="C119" s="291"/>
      <c r="D119" s="291"/>
      <c r="E119" s="291"/>
      <c r="F119" s="291"/>
      <c r="G119" s="291"/>
      <c r="H119" s="291"/>
      <c r="I119" s="291"/>
      <c r="J119" s="291"/>
      <c r="K119" s="291"/>
      <c r="L119" s="291"/>
      <c r="M119" s="291"/>
      <c r="N119" s="291"/>
      <c r="O119" s="291"/>
      <c r="P119" s="116"/>
      <c r="Q119" s="116"/>
      <c r="R119" s="116"/>
      <c r="S119" s="116"/>
      <c r="T119" s="116"/>
      <c r="U119" s="116"/>
      <c r="V119" s="116"/>
      <c r="W119" s="116"/>
    </row>
    <row r="120" spans="1:23" x14ac:dyDescent="0.25">
      <c r="A120" s="116"/>
      <c r="B120" s="116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</row>
    <row r="121" spans="1:23" ht="15" customHeight="1" x14ac:dyDescent="0.25">
      <c r="A121" s="116"/>
      <c r="B121" s="272" t="str">
        <f ca="1">INDIRECT("'"&amp;$P$1&amp;"'!B122")</f>
        <v xml:space="preserve">Отверстие в стене отстойника
</v>
      </c>
      <c r="C121" s="272"/>
      <c r="D121" s="272"/>
      <c r="E121" s="272"/>
      <c r="F121" s="116"/>
      <c r="G121" s="116"/>
      <c r="H121" s="116"/>
      <c r="I121" s="272" t="str">
        <f ca="1">INDIRECT("'"&amp;$P$1&amp;"'!I122")</f>
        <v xml:space="preserve">Отводящая труба
</v>
      </c>
      <c r="J121" s="291"/>
      <c r="K121" s="291"/>
      <c r="L121" s="291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</row>
    <row r="122" spans="1:23" ht="15.75" thickBot="1" x14ac:dyDescent="0.3">
      <c r="A122" s="116"/>
      <c r="B122" s="116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</row>
    <row r="123" spans="1:23" x14ac:dyDescent="0.25">
      <c r="A123" s="116"/>
      <c r="B123" s="116"/>
      <c r="C123" s="116"/>
      <c r="D123" s="116"/>
      <c r="E123" s="116"/>
      <c r="F123" s="103" t="str">
        <f ca="1">INDIRECT("'"&amp;$P$1&amp;"'!F124")</f>
        <v>x, мм</v>
      </c>
      <c r="G123" s="151"/>
      <c r="H123" s="116"/>
      <c r="I123" s="116"/>
      <c r="J123" s="116"/>
      <c r="K123" s="116"/>
      <c r="L123" s="116"/>
      <c r="M123" s="127" t="str">
        <f ca="1">INDIRECT("'"&amp;$P$1&amp;"'!M124")</f>
        <v>x, мм</v>
      </c>
      <c r="N123" s="151"/>
      <c r="O123" s="116"/>
      <c r="P123" s="116"/>
      <c r="Q123" s="116"/>
      <c r="R123" s="116"/>
      <c r="S123" s="116"/>
      <c r="T123" s="116"/>
      <c r="U123" s="116"/>
      <c r="V123" s="116"/>
      <c r="W123" s="116"/>
    </row>
    <row r="124" spans="1:23" x14ac:dyDescent="0.25">
      <c r="A124" s="116"/>
      <c r="B124" s="116"/>
      <c r="C124" s="116"/>
      <c r="D124" s="116"/>
      <c r="E124" s="116"/>
      <c r="F124" s="29" t="str">
        <f ca="1">INDIRECT("'"&amp;$P$1&amp;"'!F125")</f>
        <v>y1, мм</v>
      </c>
      <c r="G124" s="141"/>
      <c r="H124" s="116"/>
      <c r="I124" s="116"/>
      <c r="J124" s="116"/>
      <c r="K124" s="116"/>
      <c r="L124" s="116"/>
      <c r="M124" s="29" t="str">
        <f ca="1">INDIRECT("'"&amp;$P$1&amp;"'!M125")</f>
        <v>y, мм</v>
      </c>
      <c r="N124" s="141"/>
      <c r="O124" s="116"/>
      <c r="P124" s="116"/>
      <c r="Q124" s="116"/>
      <c r="R124" s="116"/>
      <c r="S124" s="116"/>
      <c r="T124" s="116"/>
      <c r="U124" s="116"/>
      <c r="V124" s="116"/>
      <c r="W124" s="116"/>
    </row>
    <row r="125" spans="1:23" ht="15.75" thickBot="1" x14ac:dyDescent="0.3">
      <c r="A125" s="116"/>
      <c r="B125" s="116"/>
      <c r="C125" s="116"/>
      <c r="D125" s="116"/>
      <c r="E125" s="116"/>
      <c r="F125" s="32" t="str">
        <f ca="1">INDIRECT("'"&amp;$P$1&amp;"'!F126")</f>
        <v>y2, мм</v>
      </c>
      <c r="G125" s="152"/>
      <c r="H125" s="116"/>
      <c r="I125" s="116"/>
      <c r="J125" s="116"/>
      <c r="K125" s="116"/>
      <c r="L125" s="116"/>
      <c r="M125" s="29" t="str">
        <f ca="1">INDIRECT("'"&amp;$P$1&amp;"'!M126")</f>
        <v>DN</v>
      </c>
      <c r="N125" s="141"/>
      <c r="O125" s="116"/>
      <c r="P125" s="116"/>
      <c r="Q125" s="116"/>
      <c r="R125" s="116"/>
      <c r="S125" s="116"/>
      <c r="T125" s="116"/>
      <c r="U125" s="116"/>
      <c r="V125" s="116"/>
      <c r="W125" s="116"/>
    </row>
    <row r="126" spans="1:23" ht="15.75" thickBot="1" x14ac:dyDescent="0.3">
      <c r="A126" s="116"/>
      <c r="B126" s="116"/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32" t="str">
        <f ca="1">INDIRECT("'"&amp;$P$1&amp;"'!M127")</f>
        <v>PN</v>
      </c>
      <c r="N126" s="152"/>
      <c r="O126" s="116"/>
      <c r="P126" s="116"/>
      <c r="Q126" s="116"/>
      <c r="R126" s="116"/>
      <c r="S126" s="116"/>
      <c r="T126" s="116"/>
      <c r="U126" s="116"/>
      <c r="V126" s="116"/>
      <c r="W126" s="116"/>
    </row>
    <row r="127" spans="1:23" x14ac:dyDescent="0.25">
      <c r="A127" s="116"/>
      <c r="B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</row>
    <row r="128" spans="1:23" x14ac:dyDescent="0.25">
      <c r="A128" s="116"/>
      <c r="B128" s="116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</row>
    <row r="129" spans="1:23" x14ac:dyDescent="0.25">
      <c r="A129" s="116"/>
      <c r="B129" s="116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</row>
    <row r="130" spans="1:23" x14ac:dyDescent="0.25">
      <c r="A130" s="116"/>
      <c r="B130" s="116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</row>
    <row r="131" spans="1:23" x14ac:dyDescent="0.25">
      <c r="A131" s="116"/>
      <c r="B131" s="116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</row>
    <row r="132" spans="1:23" x14ac:dyDescent="0.25">
      <c r="A132" s="116"/>
      <c r="B132" s="116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</row>
    <row r="133" spans="1:23" x14ac:dyDescent="0.25">
      <c r="A133" s="116"/>
      <c r="B133" s="116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</row>
    <row r="134" spans="1:23" s="153" customFormat="1" x14ac:dyDescent="0.25">
      <c r="A134" s="150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</row>
    <row r="135" spans="1:23" x14ac:dyDescent="0.25">
      <c r="A135" s="291" t="str">
        <f ca="1">INDIRECT("'"&amp;$P$1&amp;"'!A136")</f>
        <v>ОТВОД ПЛАВАЮЩИХ ВЕЩЕСТВ</v>
      </c>
      <c r="B135" s="291"/>
      <c r="C135" s="291"/>
      <c r="D135" s="291"/>
      <c r="E135" s="291"/>
      <c r="F135" s="291"/>
      <c r="G135" s="291"/>
      <c r="H135" s="291"/>
      <c r="I135" s="291"/>
      <c r="J135" s="291"/>
      <c r="K135" s="291"/>
      <c r="L135" s="291"/>
      <c r="M135" s="291"/>
      <c r="N135" s="291"/>
      <c r="O135" s="291"/>
      <c r="P135" s="116"/>
      <c r="Q135" s="116"/>
      <c r="R135" s="116"/>
      <c r="S135" s="116"/>
      <c r="T135" s="116"/>
      <c r="U135" s="116"/>
      <c r="V135" s="116"/>
    </row>
    <row r="136" spans="1:23" ht="15.75" thickBot="1" x14ac:dyDescent="0.3">
      <c r="A136" s="116"/>
      <c r="B136" s="116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</row>
    <row r="137" spans="1:23" x14ac:dyDescent="0.25">
      <c r="A137" s="116"/>
      <c r="B137" s="272"/>
      <c r="C137" s="272"/>
      <c r="D137" s="272"/>
      <c r="E137" s="272"/>
      <c r="F137" s="116"/>
      <c r="G137" s="116"/>
      <c r="H137" s="116"/>
      <c r="I137" s="116"/>
      <c r="J137" s="127" t="str">
        <f ca="1">INDIRECT("'"&amp;$P$1&amp;"'!J138")</f>
        <v>x, мм</v>
      </c>
      <c r="K137" s="151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</row>
    <row r="138" spans="1:23" x14ac:dyDescent="0.25">
      <c r="A138" s="116"/>
      <c r="B138" s="116"/>
      <c r="C138" s="116"/>
      <c r="D138" s="116"/>
      <c r="E138" s="116"/>
      <c r="F138" s="116"/>
      <c r="G138" s="116"/>
      <c r="H138" s="116"/>
      <c r="I138" s="116"/>
      <c r="J138" s="29" t="str">
        <f ca="1">INDIRECT("'"&amp;$P$1&amp;"'!J139")</f>
        <v>y, мм</v>
      </c>
      <c r="K138" s="141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</row>
    <row r="139" spans="1:23" x14ac:dyDescent="0.25">
      <c r="A139" s="116"/>
      <c r="B139" s="116"/>
      <c r="C139" s="116"/>
      <c r="D139" s="116"/>
      <c r="E139" s="116"/>
      <c r="F139" s="116"/>
      <c r="G139" s="116"/>
      <c r="H139" s="116"/>
      <c r="I139" s="116"/>
      <c r="J139" s="29" t="str">
        <f ca="1">INDIRECT("'"&amp;$P$1&amp;"'!J140")</f>
        <v>DN</v>
      </c>
      <c r="K139" s="141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</row>
    <row r="140" spans="1:23" ht="15.75" thickBot="1" x14ac:dyDescent="0.3">
      <c r="A140" s="116"/>
      <c r="B140" s="116"/>
      <c r="C140" s="116"/>
      <c r="D140" s="116"/>
      <c r="E140" s="116"/>
      <c r="F140" s="116"/>
      <c r="G140" s="116"/>
      <c r="H140" s="116"/>
      <c r="I140" s="116"/>
      <c r="J140" s="32" t="str">
        <f ca="1">INDIRECT("'"&amp;$P$1&amp;"'!J141")</f>
        <v>PN</v>
      </c>
      <c r="K140" s="152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</row>
    <row r="141" spans="1:23" x14ac:dyDescent="0.25">
      <c r="A141" s="116"/>
      <c r="B141" s="116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</row>
    <row r="142" spans="1:23" x14ac:dyDescent="0.25">
      <c r="A142" s="116"/>
      <c r="B142" s="116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</row>
    <row r="143" spans="1:23" x14ac:dyDescent="0.25">
      <c r="A143" s="116"/>
      <c r="B143" s="116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</row>
    <row r="144" spans="1:23" x14ac:dyDescent="0.25">
      <c r="A144" s="116"/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</row>
    <row r="145" spans="1:22" x14ac:dyDescent="0.25">
      <c r="A145" s="116"/>
      <c r="B145" s="116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</row>
    <row r="146" spans="1:22" x14ac:dyDescent="0.25">
      <c r="A146" s="116"/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</row>
    <row r="147" spans="1:22" s="154" customFormat="1" x14ac:dyDescent="0.25">
      <c r="A147" s="136"/>
      <c r="B147" s="136"/>
      <c r="C147" s="136"/>
      <c r="D147" s="136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</row>
    <row r="148" spans="1:22" hidden="1" x14ac:dyDescent="0.25">
      <c r="A148" s="116"/>
      <c r="B148" s="116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</row>
    <row r="149" spans="1:22" hidden="1" x14ac:dyDescent="0.25">
      <c r="A149" s="116"/>
      <c r="B149" s="116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</row>
    <row r="150" spans="1:22" hidden="1" x14ac:dyDescent="0.25"/>
    <row r="151" spans="1:22" hidden="1" x14ac:dyDescent="0.25"/>
    <row r="152" spans="1:22" hidden="1" x14ac:dyDescent="0.25"/>
    <row r="153" spans="1:22" hidden="1" x14ac:dyDescent="0.25"/>
    <row r="154" spans="1:22" hidden="1" x14ac:dyDescent="0.25"/>
    <row r="155" spans="1:22" hidden="1" x14ac:dyDescent="0.25"/>
    <row r="156" spans="1:22" hidden="1" x14ac:dyDescent="0.25"/>
    <row r="157" spans="1:22" hidden="1" x14ac:dyDescent="0.25"/>
    <row r="158" spans="1:22" ht="15" customHeight="1" x14ac:dyDescent="0.25"/>
  </sheetData>
  <sheetProtection algorithmName="SHA-512" hashValue="N7Z1NgI+l/VTOzzFtn+6Kc3OybRtpNTgfje4Nn3SxdvR81lTrL73XTivJHsB4OZsn0GbRmFtIjqAlH85xv0m8Q==" saltValue="y9Lg5ksLPuPzgH4WhDDH3w==" spinCount="100000" sheet="1" objects="1" scenarios="1"/>
  <mergeCells count="72">
    <mergeCell ref="A119:O119"/>
    <mergeCell ref="B121:E121"/>
    <mergeCell ref="I121:L121"/>
    <mergeCell ref="A135:O135"/>
    <mergeCell ref="B137:E137"/>
    <mergeCell ref="B106:E106"/>
    <mergeCell ref="I106:L106"/>
    <mergeCell ref="Q62:S62"/>
    <mergeCell ref="Q63:S63"/>
    <mergeCell ref="Q64:S64"/>
    <mergeCell ref="Q65:S65"/>
    <mergeCell ref="Q67:S67"/>
    <mergeCell ref="A70:O70"/>
    <mergeCell ref="B72:E72"/>
    <mergeCell ref="I72:L72"/>
    <mergeCell ref="A91:O91"/>
    <mergeCell ref="B93:E93"/>
    <mergeCell ref="I93:L93"/>
    <mergeCell ref="Q61:S61"/>
    <mergeCell ref="Q47:S47"/>
    <mergeCell ref="Q48:S48"/>
    <mergeCell ref="Q49:S49"/>
    <mergeCell ref="Q50:S50"/>
    <mergeCell ref="Q54:S54"/>
    <mergeCell ref="Q55:S55"/>
    <mergeCell ref="Q57:S57"/>
    <mergeCell ref="Q58:S58"/>
    <mergeCell ref="Q60:S60"/>
    <mergeCell ref="A52:O52"/>
    <mergeCell ref="Q53:S53"/>
    <mergeCell ref="Q41:S41"/>
    <mergeCell ref="Q42:S42"/>
    <mergeCell ref="Q43:S43"/>
    <mergeCell ref="Q44:S44"/>
    <mergeCell ref="Q45:S45"/>
    <mergeCell ref="Q46:S46"/>
    <mergeCell ref="Q40:S40"/>
    <mergeCell ref="Q29:S29"/>
    <mergeCell ref="Q30:S30"/>
    <mergeCell ref="Q31:S31"/>
    <mergeCell ref="Q32:S32"/>
    <mergeCell ref="Q33:S33"/>
    <mergeCell ref="Q34:S34"/>
    <mergeCell ref="Q35:S35"/>
    <mergeCell ref="Q36:S36"/>
    <mergeCell ref="Q37:S37"/>
    <mergeCell ref="Q38:S38"/>
    <mergeCell ref="Q39:S39"/>
    <mergeCell ref="A28:O28"/>
    <mergeCell ref="Q16:S16"/>
    <mergeCell ref="Q17:S17"/>
    <mergeCell ref="Q18:S18"/>
    <mergeCell ref="Q19:S19"/>
    <mergeCell ref="Q20:S20"/>
    <mergeCell ref="Q21:S21"/>
    <mergeCell ref="Q22:S22"/>
    <mergeCell ref="Q23:S23"/>
    <mergeCell ref="Q24:S24"/>
    <mergeCell ref="Q25:S25"/>
    <mergeCell ref="Q26:S26"/>
    <mergeCell ref="Q15:S15"/>
    <mergeCell ref="F1:K1"/>
    <mergeCell ref="A4:O4"/>
    <mergeCell ref="Q5:S5"/>
    <mergeCell ref="Q6:S6"/>
    <mergeCell ref="Q7:S7"/>
    <mergeCell ref="Q8:S8"/>
    <mergeCell ref="Q9:S9"/>
    <mergeCell ref="Q10:S10"/>
    <mergeCell ref="Q11:S11"/>
    <mergeCell ref="Q12:S12"/>
    <mergeCell ref="Q14:S14"/>
  </mergeCells>
  <dataValidations count="2">
    <dataValidation type="list" allowBlank="1" showInputMessage="1" showErrorMessage="1" sqref="Q25:S25 Q49:S49" xr:uid="{00000000-0002-0000-0100-000000000000}">
      <formula1>$V$5:$V$6</formula1>
    </dataValidation>
    <dataValidation type="list" allowBlank="1" showInputMessage="1" showErrorMessage="1" sqref="P1" xr:uid="{00000000-0002-0000-0100-000001000000}">
      <formula1>"EN,RU"</formula1>
    </dataValidation>
  </dataValidations>
  <pageMargins left="0.7" right="0.7" top="0.75" bottom="0.75" header="0.3" footer="0.3"/>
  <pageSetup paperSize="9" scale="60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Check Box 1">
              <controlPr defaultSize="0" autoFill="0" autoLine="0" autoPict="0">
                <anchor>
                  <from>
                    <xdr:col>6</xdr:col>
                    <xdr:colOff>9525</xdr:colOff>
                    <xdr:row>1</xdr:row>
                    <xdr:rowOff>133350</xdr:rowOff>
                  </from>
                  <to>
                    <xdr:col>6</xdr:col>
                    <xdr:colOff>695325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Check Box 2">
              <controlPr defaultSize="0" autoFill="0" autoLine="0" autoPict="0">
                <anchor>
                  <from>
                    <xdr:col>6</xdr:col>
                    <xdr:colOff>38100</xdr:colOff>
                    <xdr:row>25</xdr:row>
                    <xdr:rowOff>133350</xdr:rowOff>
                  </from>
                  <to>
                    <xdr:col>6</xdr:col>
                    <xdr:colOff>723900</xdr:colOff>
                    <xdr:row>28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6" name="Check Box 3">
              <controlPr defaultSize="0" autoFill="0" autoLine="0" autoPict="0">
                <anchor>
                  <from>
                    <xdr:col>6</xdr:col>
                    <xdr:colOff>38100</xdr:colOff>
                    <xdr:row>49</xdr:row>
                    <xdr:rowOff>133350</xdr:rowOff>
                  </from>
                  <to>
                    <xdr:col>6</xdr:col>
                    <xdr:colOff>714375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7" name="Check Box 4">
              <controlPr defaultSize="0" autoFill="0" autoLine="0" autoPict="0">
                <anchor>
                  <from>
                    <xdr:col>0</xdr:col>
                    <xdr:colOff>171450</xdr:colOff>
                    <xdr:row>69</xdr:row>
                    <xdr:rowOff>152400</xdr:rowOff>
                  </from>
                  <to>
                    <xdr:col>1</xdr:col>
                    <xdr:colOff>390525</xdr:colOff>
                    <xdr:row>72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8" name="Check Box 5">
              <controlPr defaultSize="0" autoFill="0" autoLine="0" autoPict="0">
                <anchor>
                  <from>
                    <xdr:col>8</xdr:col>
                    <xdr:colOff>180975</xdr:colOff>
                    <xdr:row>69</xdr:row>
                    <xdr:rowOff>152400</xdr:rowOff>
                  </from>
                  <to>
                    <xdr:col>9</xdr:col>
                    <xdr:colOff>238125</xdr:colOff>
                    <xdr:row>72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9" name="Check Box 6">
              <controlPr defaultSize="0" autoFill="0" autoLine="0" autoPict="0">
                <anchor>
                  <from>
                    <xdr:col>0</xdr:col>
                    <xdr:colOff>228600</xdr:colOff>
                    <xdr:row>90</xdr:row>
                    <xdr:rowOff>76200</xdr:rowOff>
                  </from>
                  <to>
                    <xdr:col>1</xdr:col>
                    <xdr:colOff>457200</xdr:colOff>
                    <xdr:row>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10" name="Check Box 7">
              <controlPr defaultSize="0" autoFill="0" autoLine="0" autoPict="0">
                <anchor>
                  <from>
                    <xdr:col>8</xdr:col>
                    <xdr:colOff>200025</xdr:colOff>
                    <xdr:row>90</xdr:row>
                    <xdr:rowOff>114300</xdr:rowOff>
                  </from>
                  <to>
                    <xdr:col>9</xdr:col>
                    <xdr:colOff>285750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1" name="Check Box 8">
              <controlPr defaultSize="0" autoFill="0" autoLine="0" autoPict="0">
                <anchor>
                  <from>
                    <xdr:col>0</xdr:col>
                    <xdr:colOff>190500</xdr:colOff>
                    <xdr:row>103</xdr:row>
                    <xdr:rowOff>85725</xdr:rowOff>
                  </from>
                  <to>
                    <xdr:col>1</xdr:col>
                    <xdr:colOff>419100</xdr:colOff>
                    <xdr:row>106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2" name="Check Box 9">
              <controlPr defaultSize="0" autoFill="0" autoLine="0" autoPict="0">
                <anchor>
                  <from>
                    <xdr:col>8</xdr:col>
                    <xdr:colOff>190500</xdr:colOff>
                    <xdr:row>103</xdr:row>
                    <xdr:rowOff>142875</xdr:rowOff>
                  </from>
                  <to>
                    <xdr:col>9</xdr:col>
                    <xdr:colOff>276225</xdr:colOff>
                    <xdr:row>107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3" name="Check Box 10">
              <controlPr defaultSize="0" autoFill="0" autoLine="0" autoPict="0">
                <anchor>
                  <from>
                    <xdr:col>0</xdr:col>
                    <xdr:colOff>180975</xdr:colOff>
                    <xdr:row>118</xdr:row>
                    <xdr:rowOff>114300</xdr:rowOff>
                  </from>
                  <to>
                    <xdr:col>1</xdr:col>
                    <xdr:colOff>409575</xdr:colOff>
                    <xdr:row>122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4" name="Check Box 11">
              <controlPr defaultSize="0" autoFill="0" autoLine="0" autoPict="0">
                <anchor>
                  <from>
                    <xdr:col>8</xdr:col>
                    <xdr:colOff>228600</xdr:colOff>
                    <xdr:row>118</xdr:row>
                    <xdr:rowOff>114300</xdr:rowOff>
                  </from>
                  <to>
                    <xdr:col>9</xdr:col>
                    <xdr:colOff>295275</xdr:colOff>
                    <xdr:row>122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158"/>
  <sheetViews>
    <sheetView zoomScale="80" zoomScaleNormal="80" workbookViewId="0">
      <selection activeCell="B107" sqref="B107:E107"/>
    </sheetView>
  </sheetViews>
  <sheetFormatPr defaultColWidth="9.140625" defaultRowHeight="15" customHeight="1" zeroHeight="1" x14ac:dyDescent="0.25"/>
  <cols>
    <col min="1" max="1" width="7" style="16" customWidth="1"/>
    <col min="2" max="5" width="9.140625" style="16" customWidth="1"/>
    <col min="6" max="6" width="10.7109375" style="16" customWidth="1"/>
    <col min="7" max="7" width="15.7109375" style="16" customWidth="1"/>
    <col min="8" max="10" width="9.140625" style="16" customWidth="1"/>
    <col min="11" max="11" width="20" style="16" customWidth="1"/>
    <col min="12" max="12" width="12.140625" style="16" customWidth="1"/>
    <col min="13" max="13" width="10.7109375" style="16" customWidth="1"/>
    <col min="14" max="14" width="15.7109375" style="16" customWidth="1"/>
    <col min="15" max="15" width="1.85546875" style="16" customWidth="1"/>
    <col min="16" max="16" width="22.5703125" style="16" customWidth="1"/>
    <col min="17" max="17" width="8.7109375" style="16" customWidth="1"/>
    <col min="18" max="18" width="6.42578125" style="16" customWidth="1"/>
    <col min="19" max="19" width="8.7109375" style="16" customWidth="1"/>
    <col min="20" max="23" width="9.140625" style="16" customWidth="1"/>
    <col min="24" max="24" width="18.85546875" style="16" customWidth="1"/>
    <col min="25" max="26" width="17.7109375" style="16" customWidth="1"/>
    <col min="27" max="16384" width="9.140625" style="16"/>
  </cols>
  <sheetData>
    <row r="1" spans="1:22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</row>
    <row r="2" spans="1:22" x14ac:dyDescent="0.25">
      <c r="A2" s="116"/>
      <c r="B2" s="116"/>
      <c r="C2" s="116"/>
      <c r="D2" s="116"/>
      <c r="E2" s="116"/>
      <c r="F2" s="296" t="s">
        <v>258</v>
      </c>
      <c r="G2" s="296"/>
      <c r="H2" s="296"/>
      <c r="I2" s="296"/>
      <c r="J2" s="296"/>
      <c r="K2" s="296"/>
      <c r="L2" s="116"/>
      <c r="M2" s="116"/>
      <c r="N2" s="116"/>
      <c r="O2" s="116"/>
      <c r="P2" s="116"/>
      <c r="Q2" s="116"/>
      <c r="R2" s="116"/>
      <c r="S2" s="116"/>
      <c r="T2" s="116"/>
    </row>
    <row r="3" spans="1:22" x14ac:dyDescent="0.25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5" t="s">
        <v>47</v>
      </c>
      <c r="Q3" s="116"/>
      <c r="R3" s="116"/>
      <c r="S3" s="116"/>
      <c r="T3" s="116"/>
    </row>
    <row r="4" spans="1:22" x14ac:dyDescent="0.25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6" t="s">
        <v>48</v>
      </c>
      <c r="Q4" s="116"/>
      <c r="R4" s="116"/>
      <c r="S4" s="116"/>
      <c r="T4" s="116"/>
    </row>
    <row r="5" spans="1:22" ht="20.100000000000001" customHeight="1" thickBot="1" x14ac:dyDescent="0.3">
      <c r="A5" s="272" t="s">
        <v>189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116"/>
      <c r="Q5" s="116"/>
      <c r="R5" s="116"/>
      <c r="S5" s="116"/>
      <c r="T5" s="116"/>
    </row>
    <row r="6" spans="1:22" ht="15" customHeight="1" x14ac:dyDescent="0.25">
      <c r="A6" s="116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27" t="s">
        <v>178</v>
      </c>
      <c r="Q6" s="297"/>
      <c r="R6" s="298"/>
      <c r="S6" s="299"/>
      <c r="T6" s="116"/>
      <c r="V6" s="16" t="s">
        <v>226</v>
      </c>
    </row>
    <row r="7" spans="1:22" x14ac:dyDescent="0.25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29" t="s">
        <v>163</v>
      </c>
      <c r="Q7" s="300"/>
      <c r="R7" s="301"/>
      <c r="S7" s="302"/>
      <c r="T7" s="116"/>
      <c r="V7" s="16" t="s">
        <v>232</v>
      </c>
    </row>
    <row r="8" spans="1:22" x14ac:dyDescent="0.2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29" t="s">
        <v>164</v>
      </c>
      <c r="Q8" s="300"/>
      <c r="R8" s="301"/>
      <c r="S8" s="302"/>
      <c r="T8" s="116"/>
    </row>
    <row r="9" spans="1:22" x14ac:dyDescent="0.25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29" t="s">
        <v>165</v>
      </c>
      <c r="Q9" s="300"/>
      <c r="R9" s="301"/>
      <c r="S9" s="302"/>
      <c r="T9" s="116"/>
    </row>
    <row r="10" spans="1:22" x14ac:dyDescent="0.25">
      <c r="A10" s="116"/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29" t="s">
        <v>166</v>
      </c>
      <c r="Q10" s="300"/>
      <c r="R10" s="301"/>
      <c r="S10" s="302"/>
      <c r="T10" s="116"/>
    </row>
    <row r="11" spans="1:22" x14ac:dyDescent="0.25">
      <c r="A11" s="116"/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29" t="s">
        <v>167</v>
      </c>
      <c r="Q11" s="300"/>
      <c r="R11" s="301"/>
      <c r="S11" s="302"/>
      <c r="T11" s="116"/>
    </row>
    <row r="12" spans="1:22" x14ac:dyDescent="0.25">
      <c r="A12" s="116"/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29" t="s">
        <v>168</v>
      </c>
      <c r="Q12" s="300"/>
      <c r="R12" s="301"/>
      <c r="S12" s="302"/>
      <c r="T12" s="116"/>
    </row>
    <row r="13" spans="1:22" x14ac:dyDescent="0.25">
      <c r="A13" s="116"/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29" t="s">
        <v>169</v>
      </c>
      <c r="Q13" s="300"/>
      <c r="R13" s="301"/>
      <c r="S13" s="302"/>
      <c r="T13" s="116"/>
    </row>
    <row r="14" spans="1:22" x14ac:dyDescent="0.25">
      <c r="A14" s="116"/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6"/>
      <c r="P14" s="29" t="s">
        <v>254</v>
      </c>
      <c r="Q14" s="140"/>
      <c r="R14" s="149" t="s">
        <v>213</v>
      </c>
      <c r="S14" s="141"/>
      <c r="T14" s="116"/>
    </row>
    <row r="15" spans="1:22" x14ac:dyDescent="0.25">
      <c r="A15" s="116"/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6"/>
      <c r="P15" s="29" t="s">
        <v>215</v>
      </c>
      <c r="Q15" s="293"/>
      <c r="R15" s="294"/>
      <c r="S15" s="295"/>
      <c r="T15" s="116"/>
    </row>
    <row r="16" spans="1:22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29" t="s">
        <v>170</v>
      </c>
      <c r="Q16" s="293"/>
      <c r="R16" s="294"/>
      <c r="S16" s="295"/>
      <c r="T16" s="116"/>
    </row>
    <row r="17" spans="1:20" x14ac:dyDescent="0.25">
      <c r="A17" s="116"/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29" t="s">
        <v>171</v>
      </c>
      <c r="Q17" s="293"/>
      <c r="R17" s="294"/>
      <c r="S17" s="295"/>
      <c r="T17" s="116"/>
    </row>
    <row r="18" spans="1:20" x14ac:dyDescent="0.25">
      <c r="A18" s="116"/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29" t="s">
        <v>172</v>
      </c>
      <c r="Q18" s="293"/>
      <c r="R18" s="294"/>
      <c r="S18" s="295"/>
      <c r="T18" s="116"/>
    </row>
    <row r="19" spans="1:20" x14ac:dyDescent="0.25">
      <c r="A19" s="116"/>
      <c r="B19" s="11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29" t="s">
        <v>173</v>
      </c>
      <c r="Q19" s="293"/>
      <c r="R19" s="294"/>
      <c r="S19" s="295"/>
      <c r="T19" s="116"/>
    </row>
    <row r="20" spans="1:20" x14ac:dyDescent="0.25">
      <c r="A20" s="116"/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29" t="s">
        <v>174</v>
      </c>
      <c r="Q20" s="293"/>
      <c r="R20" s="294"/>
      <c r="S20" s="295"/>
      <c r="T20" s="116"/>
    </row>
    <row r="21" spans="1:20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29" t="s">
        <v>175</v>
      </c>
      <c r="Q21" s="293"/>
      <c r="R21" s="294"/>
      <c r="S21" s="295"/>
      <c r="T21" s="116"/>
    </row>
    <row r="22" spans="1:20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29" t="s">
        <v>176</v>
      </c>
      <c r="Q22" s="293"/>
      <c r="R22" s="294"/>
      <c r="S22" s="295"/>
      <c r="T22" s="116"/>
    </row>
    <row r="23" spans="1:20" x14ac:dyDescent="0.25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29" t="s">
        <v>179</v>
      </c>
      <c r="Q23" s="293"/>
      <c r="R23" s="294"/>
      <c r="S23" s="295"/>
      <c r="T23" s="116"/>
    </row>
    <row r="24" spans="1:20" ht="15.75" x14ac:dyDescent="0.25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48"/>
      <c r="M24" s="116"/>
      <c r="N24" s="116"/>
      <c r="O24" s="116"/>
      <c r="P24" s="29" t="s">
        <v>180</v>
      </c>
      <c r="Q24" s="293"/>
      <c r="R24" s="294"/>
      <c r="S24" s="295"/>
      <c r="T24" s="116"/>
    </row>
    <row r="25" spans="1:20" x14ac:dyDescent="0.25">
      <c r="A25" s="116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29" t="s">
        <v>181</v>
      </c>
      <c r="Q25" s="269"/>
      <c r="R25" s="269"/>
      <c r="S25" s="270"/>
      <c r="T25" s="116"/>
    </row>
    <row r="26" spans="1:20" ht="28.5" x14ac:dyDescent="0.25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35" t="s">
        <v>216</v>
      </c>
      <c r="Q26" s="303">
        <f>Drawings!Q25</f>
        <v>0</v>
      </c>
      <c r="R26" s="304"/>
      <c r="S26" s="305"/>
      <c r="T26" s="116"/>
    </row>
    <row r="27" spans="1:20" ht="15.75" thickBot="1" x14ac:dyDescent="0.3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32" t="str">
        <f>IF(Q26=V6,"Dimensions LxW, mm",IF(Q26=V7,"Diameter ø, mm"," "))</f>
        <v xml:space="preserve"> </v>
      </c>
      <c r="Q27" s="306"/>
      <c r="R27" s="307"/>
      <c r="S27" s="308"/>
      <c r="T27" s="116"/>
    </row>
    <row r="28" spans="1:20" x14ac:dyDescent="0.25">
      <c r="A28" s="116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</row>
    <row r="29" spans="1:20" ht="20.100000000000001" customHeight="1" thickBot="1" x14ac:dyDescent="0.3">
      <c r="A29" s="272" t="s">
        <v>190</v>
      </c>
      <c r="B29" s="272"/>
      <c r="C29" s="272"/>
      <c r="D29" s="272"/>
      <c r="E29" s="272"/>
      <c r="F29" s="272"/>
      <c r="G29" s="272"/>
      <c r="H29" s="272"/>
      <c r="I29" s="272"/>
      <c r="J29" s="272"/>
      <c r="K29" s="272"/>
      <c r="L29" s="272"/>
      <c r="M29" s="272"/>
      <c r="N29" s="272"/>
      <c r="O29" s="272"/>
      <c r="P29" s="116"/>
      <c r="Q29" s="116"/>
      <c r="R29" s="116"/>
      <c r="S29" s="116"/>
      <c r="T29" s="116"/>
    </row>
    <row r="30" spans="1:20" x14ac:dyDescent="0.25">
      <c r="A30" s="116"/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03" t="s">
        <v>178</v>
      </c>
      <c r="Q30" s="282"/>
      <c r="R30" s="283"/>
      <c r="S30" s="284"/>
      <c r="T30" s="116"/>
    </row>
    <row r="31" spans="1:20" x14ac:dyDescent="0.25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29" t="s">
        <v>163</v>
      </c>
      <c r="Q31" s="279"/>
      <c r="R31" s="280"/>
      <c r="S31" s="281"/>
      <c r="T31" s="116"/>
    </row>
    <row r="32" spans="1:20" x14ac:dyDescent="0.25">
      <c r="A32" s="116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29" t="s">
        <v>164</v>
      </c>
      <c r="Q32" s="279"/>
      <c r="R32" s="280"/>
      <c r="S32" s="281"/>
      <c r="T32" s="116"/>
    </row>
    <row r="33" spans="1:20" x14ac:dyDescent="0.25">
      <c r="A33" s="116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29" t="s">
        <v>165</v>
      </c>
      <c r="Q33" s="279"/>
      <c r="R33" s="280"/>
      <c r="S33" s="281"/>
      <c r="T33" s="116"/>
    </row>
    <row r="34" spans="1:20" x14ac:dyDescent="0.25">
      <c r="A34" s="116"/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29" t="s">
        <v>166</v>
      </c>
      <c r="Q34" s="279"/>
      <c r="R34" s="280"/>
      <c r="S34" s="281"/>
      <c r="T34" s="116"/>
    </row>
    <row r="35" spans="1:20" x14ac:dyDescent="0.25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29" t="s">
        <v>167</v>
      </c>
      <c r="Q35" s="279"/>
      <c r="R35" s="280"/>
      <c r="S35" s="281"/>
      <c r="T35" s="116"/>
    </row>
    <row r="36" spans="1:20" x14ac:dyDescent="0.25">
      <c r="A36" s="116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29" t="s">
        <v>168</v>
      </c>
      <c r="Q36" s="279"/>
      <c r="R36" s="280"/>
      <c r="S36" s="281"/>
      <c r="T36" s="116"/>
    </row>
    <row r="37" spans="1:20" x14ac:dyDescent="0.25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29" t="s">
        <v>215</v>
      </c>
      <c r="Q37" s="279"/>
      <c r="R37" s="280"/>
      <c r="S37" s="281"/>
      <c r="T37" s="116"/>
    </row>
    <row r="38" spans="1:20" x14ac:dyDescent="0.25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29" t="s">
        <v>170</v>
      </c>
      <c r="Q38" s="279"/>
      <c r="R38" s="280"/>
      <c r="S38" s="281"/>
      <c r="T38" s="116"/>
    </row>
    <row r="39" spans="1:20" x14ac:dyDescent="0.25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29" t="s">
        <v>171</v>
      </c>
      <c r="Q39" s="279"/>
      <c r="R39" s="280"/>
      <c r="S39" s="281"/>
      <c r="T39" s="116"/>
    </row>
    <row r="40" spans="1:20" x14ac:dyDescent="0.25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29" t="s">
        <v>172</v>
      </c>
      <c r="Q40" s="279"/>
      <c r="R40" s="280"/>
      <c r="S40" s="281"/>
      <c r="T40" s="116"/>
    </row>
    <row r="41" spans="1:20" x14ac:dyDescent="0.25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29" t="s">
        <v>173</v>
      </c>
      <c r="Q41" s="279"/>
      <c r="R41" s="280"/>
      <c r="S41" s="281"/>
      <c r="T41" s="116"/>
    </row>
    <row r="42" spans="1:20" x14ac:dyDescent="0.25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29" t="s">
        <v>174</v>
      </c>
      <c r="Q42" s="279"/>
      <c r="R42" s="280"/>
      <c r="S42" s="281"/>
      <c r="T42" s="116"/>
    </row>
    <row r="43" spans="1:20" x14ac:dyDescent="0.25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29" t="s">
        <v>175</v>
      </c>
      <c r="Q43" s="279"/>
      <c r="R43" s="280"/>
      <c r="S43" s="281"/>
      <c r="T43" s="116"/>
    </row>
    <row r="44" spans="1:20" x14ac:dyDescent="0.25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29" t="s">
        <v>176</v>
      </c>
      <c r="Q44" s="279"/>
      <c r="R44" s="280"/>
      <c r="S44" s="281"/>
      <c r="T44" s="116"/>
    </row>
    <row r="45" spans="1:20" x14ac:dyDescent="0.25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29" t="s">
        <v>177</v>
      </c>
      <c r="Q45" s="246"/>
      <c r="R45" s="246"/>
      <c r="S45" s="247"/>
      <c r="T45" s="116"/>
    </row>
    <row r="46" spans="1:20" x14ac:dyDescent="0.25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29" t="s">
        <v>179</v>
      </c>
      <c r="Q46" s="246"/>
      <c r="R46" s="246"/>
      <c r="S46" s="247"/>
      <c r="T46" s="116"/>
    </row>
    <row r="47" spans="1:20" x14ac:dyDescent="0.25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29" t="s">
        <v>180</v>
      </c>
      <c r="Q47" s="246"/>
      <c r="R47" s="246"/>
      <c r="S47" s="247"/>
      <c r="T47" s="116"/>
    </row>
    <row r="48" spans="1:20" x14ac:dyDescent="0.25">
      <c r="A48" s="116"/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29" t="s">
        <v>181</v>
      </c>
      <c r="Q48" s="246"/>
      <c r="R48" s="246"/>
      <c r="S48" s="247"/>
      <c r="T48" s="116"/>
    </row>
    <row r="49" spans="1:20" x14ac:dyDescent="0.25">
      <c r="A49" s="116"/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29" t="s">
        <v>183</v>
      </c>
      <c r="Q49" s="246"/>
      <c r="R49" s="246"/>
      <c r="S49" s="247"/>
      <c r="T49" s="116"/>
    </row>
    <row r="50" spans="1:20" ht="28.5" x14ac:dyDescent="0.25">
      <c r="A50" s="116"/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35" t="s">
        <v>216</v>
      </c>
      <c r="Q50" s="309">
        <f>Drawings!Q49</f>
        <v>0</v>
      </c>
      <c r="R50" s="309"/>
      <c r="S50" s="310"/>
      <c r="T50" s="116"/>
    </row>
    <row r="51" spans="1:20" ht="15.75" thickBot="1" x14ac:dyDescent="0.3">
      <c r="A51" s="116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32" t="str">
        <f>IF(Q50=V6,"Dimensions LxW, mm",IF(Q50=V7,"Diameter ø, mm"," "))</f>
        <v xml:space="preserve"> </v>
      </c>
      <c r="Q51" s="289"/>
      <c r="R51" s="289"/>
      <c r="S51" s="290"/>
      <c r="T51" s="116"/>
    </row>
    <row r="52" spans="1:20" x14ac:dyDescent="0.25">
      <c r="A52" s="116"/>
      <c r="B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</row>
    <row r="53" spans="1:20" ht="20.100000000000001" customHeight="1" thickBot="1" x14ac:dyDescent="0.3">
      <c r="A53" s="272" t="s">
        <v>182</v>
      </c>
      <c r="B53" s="272"/>
      <c r="C53" s="272"/>
      <c r="D53" s="272"/>
      <c r="E53" s="272"/>
      <c r="F53" s="272"/>
      <c r="G53" s="272"/>
      <c r="H53" s="272"/>
      <c r="I53" s="272"/>
      <c r="J53" s="272"/>
      <c r="K53" s="272"/>
      <c r="L53" s="272"/>
      <c r="M53" s="272"/>
      <c r="N53" s="272"/>
      <c r="O53" s="272"/>
      <c r="P53" s="116"/>
      <c r="Q53" s="116"/>
      <c r="R53" s="116"/>
      <c r="S53" s="116"/>
      <c r="T53" s="116"/>
    </row>
    <row r="54" spans="1:20" x14ac:dyDescent="0.25">
      <c r="A54" s="116"/>
      <c r="B54" s="116"/>
      <c r="C54" s="116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03" t="s">
        <v>178</v>
      </c>
      <c r="Q54" s="285"/>
      <c r="R54" s="286"/>
      <c r="S54" s="287"/>
      <c r="T54" s="116"/>
    </row>
    <row r="55" spans="1:20" x14ac:dyDescent="0.25">
      <c r="A55" s="116"/>
      <c r="B55" s="116"/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29" t="s">
        <v>163</v>
      </c>
      <c r="Q55" s="189"/>
      <c r="R55" s="288"/>
      <c r="S55" s="190"/>
      <c r="T55" s="116"/>
    </row>
    <row r="56" spans="1:20" x14ac:dyDescent="0.25">
      <c r="A56" s="116"/>
      <c r="B56" s="116"/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29" t="s">
        <v>164</v>
      </c>
      <c r="Q56" s="189"/>
      <c r="R56" s="288"/>
      <c r="S56" s="190"/>
      <c r="T56" s="116"/>
    </row>
    <row r="57" spans="1:20" x14ac:dyDescent="0.25">
      <c r="A57" s="116"/>
      <c r="B57" s="116"/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29" t="s">
        <v>165</v>
      </c>
      <c r="Q57" s="142"/>
      <c r="R57" s="143"/>
      <c r="S57" s="144"/>
      <c r="T57" s="116"/>
    </row>
    <row r="58" spans="1:20" x14ac:dyDescent="0.25">
      <c r="A58" s="116"/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29" t="s">
        <v>166</v>
      </c>
      <c r="Q58" s="189"/>
      <c r="R58" s="288"/>
      <c r="S58" s="190"/>
      <c r="T58" s="116"/>
    </row>
    <row r="59" spans="1:20" x14ac:dyDescent="0.25">
      <c r="A59" s="116"/>
      <c r="B59" s="116"/>
      <c r="C59" s="116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  <c r="O59" s="116"/>
      <c r="P59" s="29" t="s">
        <v>167</v>
      </c>
      <c r="Q59" s="189"/>
      <c r="R59" s="288"/>
      <c r="S59" s="190"/>
      <c r="T59" s="116"/>
    </row>
    <row r="60" spans="1:20" x14ac:dyDescent="0.25">
      <c r="A60" s="116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29" t="s">
        <v>254</v>
      </c>
      <c r="Q60" s="138"/>
      <c r="R60" s="137" t="s">
        <v>213</v>
      </c>
      <c r="S60" s="139"/>
      <c r="T60" s="116"/>
    </row>
    <row r="61" spans="1:20" x14ac:dyDescent="0.25">
      <c r="A61" s="116"/>
      <c r="B61" s="116"/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6"/>
      <c r="P61" s="29" t="s">
        <v>215</v>
      </c>
      <c r="Q61" s="189"/>
      <c r="R61" s="288"/>
      <c r="S61" s="190"/>
      <c r="T61" s="116"/>
    </row>
    <row r="62" spans="1:20" x14ac:dyDescent="0.25">
      <c r="A62" s="116"/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29" t="s">
        <v>170</v>
      </c>
      <c r="Q62" s="189"/>
      <c r="R62" s="288"/>
      <c r="S62" s="190"/>
      <c r="T62" s="116"/>
    </row>
    <row r="63" spans="1:20" x14ac:dyDescent="0.25">
      <c r="A63" s="116"/>
      <c r="B63" s="116"/>
      <c r="C63" s="116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29" t="s">
        <v>171</v>
      </c>
      <c r="Q63" s="189"/>
      <c r="R63" s="288"/>
      <c r="S63" s="190"/>
      <c r="T63" s="116"/>
    </row>
    <row r="64" spans="1:20" x14ac:dyDescent="0.25">
      <c r="A64" s="116"/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29" t="s">
        <v>172</v>
      </c>
      <c r="Q64" s="189"/>
      <c r="R64" s="288"/>
      <c r="S64" s="190"/>
      <c r="T64" s="116"/>
    </row>
    <row r="65" spans="1:21" x14ac:dyDescent="0.25">
      <c r="A65" s="116"/>
      <c r="B65" s="11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29" t="s">
        <v>179</v>
      </c>
      <c r="Q65" s="189"/>
      <c r="R65" s="288"/>
      <c r="S65" s="190"/>
      <c r="T65" s="116"/>
    </row>
    <row r="66" spans="1:21" x14ac:dyDescent="0.25">
      <c r="A66" s="116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29" t="s">
        <v>180</v>
      </c>
      <c r="Q66" s="189"/>
      <c r="R66" s="288"/>
      <c r="S66" s="190"/>
      <c r="T66" s="116"/>
    </row>
    <row r="67" spans="1:21" x14ac:dyDescent="0.25">
      <c r="A67" s="116"/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29" t="s">
        <v>181</v>
      </c>
      <c r="Q67" s="145"/>
      <c r="R67" s="146"/>
      <c r="S67" s="147"/>
      <c r="T67" s="116"/>
    </row>
    <row r="68" spans="1:21" ht="15.75" thickBot="1" x14ac:dyDescent="0.3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32" t="s">
        <v>183</v>
      </c>
      <c r="Q68" s="262"/>
      <c r="R68" s="292"/>
      <c r="S68" s="263"/>
      <c r="T68" s="116"/>
    </row>
    <row r="69" spans="1:21" x14ac:dyDescent="0.2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</row>
    <row r="70" spans="1:21" x14ac:dyDescent="0.25">
      <c r="A70" s="116"/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</row>
    <row r="71" spans="1:21" x14ac:dyDescent="0.25">
      <c r="A71" s="291" t="s">
        <v>251</v>
      </c>
      <c r="B71" s="291"/>
      <c r="C71" s="291"/>
      <c r="D71" s="291"/>
      <c r="E71" s="291"/>
      <c r="F71" s="291"/>
      <c r="G71" s="291"/>
      <c r="H71" s="291"/>
      <c r="I71" s="291"/>
      <c r="J71" s="291"/>
      <c r="K71" s="291"/>
      <c r="L71" s="291"/>
      <c r="M71" s="291"/>
      <c r="N71" s="291"/>
      <c r="O71" s="291"/>
      <c r="P71" s="116"/>
      <c r="Q71" s="116"/>
      <c r="R71" s="116"/>
      <c r="S71" s="116"/>
      <c r="T71" s="116"/>
      <c r="U71" s="116"/>
    </row>
    <row r="72" spans="1:21" x14ac:dyDescent="0.25">
      <c r="A72" s="116"/>
      <c r="B72" s="116"/>
      <c r="C72" s="116"/>
      <c r="D72" s="116"/>
      <c r="E72" s="116"/>
      <c r="F72" s="116"/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</row>
    <row r="73" spans="1:21" ht="20.100000000000001" customHeight="1" x14ac:dyDescent="0.25">
      <c r="A73" s="116"/>
      <c r="B73" s="272" t="s">
        <v>248</v>
      </c>
      <c r="C73" s="272"/>
      <c r="D73" s="272"/>
      <c r="E73" s="272"/>
      <c r="F73" s="116"/>
      <c r="G73" s="116"/>
      <c r="H73" s="116"/>
      <c r="I73" s="272" t="s">
        <v>249</v>
      </c>
      <c r="J73" s="272"/>
      <c r="K73" s="272"/>
      <c r="L73" s="272"/>
      <c r="N73" s="116"/>
      <c r="O73" s="116"/>
      <c r="P73" s="116"/>
      <c r="Q73" s="116"/>
      <c r="R73" s="116"/>
      <c r="S73" s="116"/>
      <c r="T73" s="116"/>
      <c r="U73" s="116"/>
    </row>
    <row r="74" spans="1:21" ht="15.75" thickBot="1" x14ac:dyDescent="0.3">
      <c r="A74" s="116"/>
      <c r="B74" s="116"/>
      <c r="C74" s="116"/>
      <c r="D74" s="116"/>
      <c r="E74" s="116"/>
      <c r="F74" s="116"/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</row>
    <row r="75" spans="1:21" x14ac:dyDescent="0.25">
      <c r="A75" s="116"/>
      <c r="B75" s="116"/>
      <c r="C75" s="116"/>
      <c r="D75" s="116"/>
      <c r="E75" s="116"/>
      <c r="F75" s="103" t="s">
        <v>178</v>
      </c>
      <c r="G75" s="151">
        <v>200</v>
      </c>
      <c r="H75" s="116"/>
      <c r="I75" s="116"/>
      <c r="J75" s="116"/>
      <c r="K75" s="116"/>
      <c r="L75" s="116"/>
      <c r="M75" s="103" t="s">
        <v>184</v>
      </c>
      <c r="N75" s="151"/>
      <c r="O75" s="116"/>
      <c r="P75" s="116"/>
      <c r="Q75" s="116"/>
      <c r="R75" s="116"/>
      <c r="S75" s="116"/>
      <c r="T75" s="116"/>
      <c r="U75" s="116"/>
    </row>
    <row r="76" spans="1:21" x14ac:dyDescent="0.25">
      <c r="A76" s="116"/>
      <c r="B76" s="116"/>
      <c r="C76" s="116"/>
      <c r="D76" s="116"/>
      <c r="E76" s="116"/>
      <c r="F76" s="29" t="s">
        <v>257</v>
      </c>
      <c r="G76" s="141"/>
      <c r="H76" s="116"/>
      <c r="I76" s="116"/>
      <c r="J76" s="116"/>
      <c r="K76" s="116"/>
      <c r="L76" s="116"/>
      <c r="M76" s="29" t="s">
        <v>178</v>
      </c>
      <c r="N76" s="141">
        <v>200</v>
      </c>
      <c r="O76" s="116"/>
      <c r="P76" s="116"/>
      <c r="Q76" s="116"/>
      <c r="R76" s="116"/>
      <c r="S76" s="116"/>
      <c r="T76" s="116"/>
      <c r="U76" s="116"/>
    </row>
    <row r="77" spans="1:21" x14ac:dyDescent="0.25">
      <c r="A77" s="116"/>
      <c r="B77" s="116"/>
      <c r="C77" s="116"/>
      <c r="D77" s="116"/>
      <c r="E77" s="116"/>
      <c r="F77" s="29" t="s">
        <v>186</v>
      </c>
      <c r="G77" s="141">
        <v>500</v>
      </c>
      <c r="H77" s="116"/>
      <c r="I77" s="116"/>
      <c r="J77" s="116"/>
      <c r="K77" s="116"/>
      <c r="L77" s="116"/>
      <c r="M77" s="29" t="s">
        <v>257</v>
      </c>
      <c r="N77" s="141"/>
      <c r="O77" s="116"/>
      <c r="P77" s="116"/>
      <c r="Q77" s="116"/>
      <c r="R77" s="116"/>
      <c r="S77" s="116"/>
      <c r="T77" s="116"/>
      <c r="U77" s="116"/>
    </row>
    <row r="78" spans="1:21" x14ac:dyDescent="0.25">
      <c r="A78" s="116"/>
      <c r="B78" s="116"/>
      <c r="C78" s="116"/>
      <c r="D78" s="116"/>
      <c r="E78" s="116"/>
      <c r="F78" s="29" t="s">
        <v>187</v>
      </c>
      <c r="G78" s="141"/>
      <c r="H78" s="116"/>
      <c r="I78" s="116"/>
      <c r="J78" s="116"/>
      <c r="K78" s="116"/>
      <c r="L78" s="116"/>
      <c r="M78" s="29" t="s">
        <v>186</v>
      </c>
      <c r="N78" s="141">
        <v>500</v>
      </c>
      <c r="O78" s="116"/>
      <c r="P78" s="116"/>
      <c r="Q78" s="116"/>
      <c r="R78" s="116"/>
      <c r="S78" s="116"/>
      <c r="T78" s="116"/>
      <c r="U78" s="116"/>
    </row>
    <row r="79" spans="1:21" x14ac:dyDescent="0.25">
      <c r="A79" s="116"/>
      <c r="B79" s="116"/>
      <c r="C79" s="116"/>
      <c r="D79" s="116"/>
      <c r="E79" s="116"/>
      <c r="F79" s="29" t="s">
        <v>188</v>
      </c>
      <c r="G79" s="141"/>
      <c r="H79" s="116"/>
      <c r="I79" s="116"/>
      <c r="J79" s="116"/>
      <c r="K79" s="116"/>
      <c r="L79" s="116"/>
      <c r="M79" s="29" t="s">
        <v>187</v>
      </c>
      <c r="N79" s="141"/>
      <c r="O79" s="116"/>
      <c r="P79" s="116"/>
      <c r="Q79" s="116"/>
      <c r="R79" s="116"/>
      <c r="S79" s="116"/>
      <c r="T79" s="116"/>
      <c r="U79" s="116"/>
    </row>
    <row r="80" spans="1:21" x14ac:dyDescent="0.25">
      <c r="A80" s="116"/>
      <c r="B80" s="116"/>
      <c r="C80" s="116"/>
      <c r="D80" s="116"/>
      <c r="E80" s="116"/>
      <c r="F80" s="29" t="s">
        <v>245</v>
      </c>
      <c r="G80" s="141"/>
      <c r="H80" s="116"/>
      <c r="I80" s="116"/>
      <c r="J80" s="116"/>
      <c r="K80" s="116"/>
      <c r="L80" s="116"/>
      <c r="M80" s="29" t="s">
        <v>188</v>
      </c>
      <c r="N80" s="141"/>
      <c r="O80" s="116"/>
      <c r="P80" s="116"/>
      <c r="Q80" s="116"/>
      <c r="R80" s="116"/>
      <c r="S80" s="116"/>
      <c r="T80" s="116"/>
      <c r="U80" s="116"/>
    </row>
    <row r="81" spans="1:21" x14ac:dyDescent="0.25">
      <c r="A81" s="116"/>
      <c r="B81" s="116"/>
      <c r="C81" s="116"/>
      <c r="D81" s="116"/>
      <c r="E81" s="116"/>
      <c r="F81" s="29" t="s">
        <v>246</v>
      </c>
      <c r="G81" s="141"/>
      <c r="H81" s="116"/>
      <c r="I81" s="116"/>
      <c r="J81" s="116"/>
      <c r="K81" s="116"/>
      <c r="L81" s="116"/>
      <c r="M81" s="29" t="s">
        <v>245</v>
      </c>
      <c r="N81" s="141"/>
      <c r="O81" s="116"/>
      <c r="P81" s="116"/>
      <c r="Q81" s="116"/>
      <c r="R81" s="116"/>
      <c r="S81" s="116"/>
      <c r="T81" s="116"/>
      <c r="U81" s="116"/>
    </row>
    <row r="82" spans="1:21" ht="15.75" thickBot="1" x14ac:dyDescent="0.3">
      <c r="A82" s="116"/>
      <c r="B82" s="116"/>
      <c r="C82" s="116"/>
      <c r="D82" s="116"/>
      <c r="E82" s="116"/>
      <c r="F82" s="32" t="s">
        <v>247</v>
      </c>
      <c r="G82" s="152"/>
      <c r="H82" s="116"/>
      <c r="I82" s="116"/>
      <c r="J82" s="116"/>
      <c r="K82" s="116"/>
      <c r="L82" s="116"/>
      <c r="M82" s="29" t="s">
        <v>246</v>
      </c>
      <c r="N82" s="141"/>
      <c r="O82" s="116"/>
      <c r="P82" s="116"/>
      <c r="Q82" s="116"/>
      <c r="R82" s="116"/>
      <c r="S82" s="116"/>
      <c r="T82" s="116"/>
      <c r="U82" s="116"/>
    </row>
    <row r="83" spans="1:21" ht="15.75" thickBot="1" x14ac:dyDescent="0.3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32" t="s">
        <v>247</v>
      </c>
      <c r="N83" s="152"/>
      <c r="O83" s="116"/>
      <c r="P83" s="116"/>
      <c r="Q83" s="116"/>
      <c r="R83" s="116"/>
      <c r="S83" s="116"/>
      <c r="T83" s="116"/>
      <c r="U83" s="116"/>
    </row>
    <row r="84" spans="1:21" x14ac:dyDescent="0.25">
      <c r="A84" s="116"/>
      <c r="B84" s="116"/>
      <c r="C84" s="116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</row>
    <row r="85" spans="1:21" x14ac:dyDescent="0.25">
      <c r="A85" s="116"/>
      <c r="B85" s="116"/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</row>
    <row r="86" spans="1:21" x14ac:dyDescent="0.25">
      <c r="A86" s="116"/>
      <c r="B86" s="116"/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</row>
    <row r="87" spans="1:21" x14ac:dyDescent="0.25">
      <c r="A87" s="116"/>
      <c r="B87" s="116"/>
      <c r="C87" s="116"/>
      <c r="D87" s="116"/>
      <c r="E87" s="116"/>
      <c r="F87" s="116"/>
      <c r="G87" s="116"/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</row>
    <row r="88" spans="1:21" x14ac:dyDescent="0.25">
      <c r="A88" s="116"/>
      <c r="B88" s="116"/>
      <c r="C88" s="116"/>
      <c r="D88" s="116"/>
      <c r="E88" s="116"/>
      <c r="F88" s="116"/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</row>
    <row r="89" spans="1:21" x14ac:dyDescent="0.25">
      <c r="A89" s="116"/>
      <c r="B89" s="116"/>
      <c r="C89" s="116"/>
      <c r="D89" s="116"/>
      <c r="E89" s="116"/>
      <c r="F89" s="116"/>
      <c r="G89" s="116"/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</row>
    <row r="90" spans="1:21" x14ac:dyDescent="0.25">
      <c r="A90" s="116"/>
      <c r="B90" s="116"/>
      <c r="C90" s="136"/>
      <c r="D90" s="136"/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x14ac:dyDescent="0.25">
      <c r="A91" s="150"/>
      <c r="B91" s="150"/>
      <c r="C91" s="116"/>
      <c r="D91" s="116"/>
      <c r="E91" s="116"/>
      <c r="F91" s="116"/>
      <c r="G91" s="116"/>
      <c r="H91" s="116"/>
      <c r="I91" s="116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</row>
    <row r="92" spans="1:21" x14ac:dyDescent="0.25">
      <c r="A92" s="291" t="s">
        <v>250</v>
      </c>
      <c r="B92" s="291"/>
      <c r="C92" s="291"/>
      <c r="D92" s="291"/>
      <c r="E92" s="291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116"/>
      <c r="Q92" s="116"/>
      <c r="R92" s="116"/>
      <c r="S92" s="116"/>
      <c r="T92" s="116"/>
      <c r="U92" s="116"/>
    </row>
    <row r="93" spans="1:21" x14ac:dyDescent="0.25">
      <c r="A93" s="116"/>
      <c r="B93" s="116"/>
      <c r="C93" s="116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O93" s="116"/>
      <c r="P93" s="116"/>
      <c r="Q93" s="116"/>
      <c r="R93" s="116"/>
      <c r="S93" s="116"/>
      <c r="T93" s="116"/>
      <c r="U93" s="116"/>
    </row>
    <row r="94" spans="1:21" s="116" customFormat="1" x14ac:dyDescent="0.25">
      <c r="B94" s="291" t="s">
        <v>217</v>
      </c>
      <c r="C94" s="291"/>
      <c r="D94" s="291"/>
      <c r="E94" s="291"/>
      <c r="I94" s="291" t="s">
        <v>218</v>
      </c>
      <c r="J94" s="291"/>
      <c r="K94" s="291"/>
      <c r="L94" s="291"/>
    </row>
    <row r="95" spans="1:21" s="116" customFormat="1" x14ac:dyDescent="0.25"/>
    <row r="96" spans="1:21" x14ac:dyDescent="0.25">
      <c r="A96" s="116"/>
      <c r="B96" s="116"/>
      <c r="C96" s="116"/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</row>
    <row r="97" spans="1:21" x14ac:dyDescent="0.25">
      <c r="A97" s="116"/>
      <c r="B97" s="116"/>
      <c r="C97" s="116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</row>
    <row r="98" spans="1:21" x14ac:dyDescent="0.25">
      <c r="A98" s="116"/>
      <c r="B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</row>
    <row r="99" spans="1:21" x14ac:dyDescent="0.25">
      <c r="A99" s="116"/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</row>
    <row r="100" spans="1:21" x14ac:dyDescent="0.25">
      <c r="A100" s="116"/>
      <c r="B100" s="116"/>
      <c r="C100" s="116"/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</row>
    <row r="101" spans="1:21" x14ac:dyDescent="0.25">
      <c r="A101" s="116"/>
      <c r="B101" s="116"/>
      <c r="C101" s="116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</row>
    <row r="102" spans="1:21" x14ac:dyDescent="0.25">
      <c r="A102" s="116"/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</row>
    <row r="103" spans="1:21" x14ac:dyDescent="0.25">
      <c r="A103" s="116"/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</row>
    <row r="104" spans="1:21" x14ac:dyDescent="0.25">
      <c r="A104" s="116"/>
      <c r="B104" s="116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</row>
    <row r="105" spans="1:21" x14ac:dyDescent="0.25">
      <c r="A105" s="116"/>
      <c r="B105" s="116"/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</row>
    <row r="106" spans="1:21" x14ac:dyDescent="0.25">
      <c r="A106" s="116"/>
      <c r="B106" s="116"/>
      <c r="C106" s="11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</row>
    <row r="107" spans="1:21" ht="15" customHeight="1" x14ac:dyDescent="0.25">
      <c r="A107" s="116"/>
      <c r="B107" s="291" t="s">
        <v>239</v>
      </c>
      <c r="C107" s="291"/>
      <c r="D107" s="291"/>
      <c r="E107" s="291"/>
      <c r="F107" s="116"/>
      <c r="G107" s="116"/>
      <c r="H107" s="116"/>
      <c r="I107" s="291" t="s">
        <v>240</v>
      </c>
      <c r="J107" s="291"/>
      <c r="K107" s="291"/>
      <c r="L107" s="291"/>
      <c r="M107" s="116"/>
      <c r="N107" s="116"/>
      <c r="O107" s="116"/>
      <c r="P107" s="116"/>
      <c r="Q107" s="116"/>
      <c r="R107" s="116"/>
      <c r="S107" s="116"/>
      <c r="T107" s="116"/>
      <c r="U107" s="116"/>
    </row>
    <row r="108" spans="1:21" ht="15.75" thickBot="1" x14ac:dyDescent="0.3">
      <c r="A108" s="116"/>
      <c r="B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</row>
    <row r="109" spans="1:21" x14ac:dyDescent="0.25">
      <c r="A109" s="116"/>
      <c r="B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103" t="s">
        <v>229</v>
      </c>
      <c r="N109" s="151"/>
      <c r="O109" s="116"/>
      <c r="P109" s="116"/>
      <c r="Q109" s="116"/>
      <c r="R109" s="116"/>
      <c r="S109" s="116"/>
      <c r="T109" s="116"/>
      <c r="U109" s="116"/>
    </row>
    <row r="110" spans="1:21" x14ac:dyDescent="0.25">
      <c r="A110" s="116"/>
      <c r="B110" s="116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29" t="s">
        <v>185</v>
      </c>
      <c r="N110" s="141"/>
      <c r="O110" s="116"/>
      <c r="P110" s="116"/>
      <c r="Q110" s="116"/>
      <c r="R110" s="116"/>
      <c r="S110" s="116"/>
      <c r="T110" s="116"/>
      <c r="U110" s="116"/>
    </row>
    <row r="111" spans="1:21" x14ac:dyDescent="0.25">
      <c r="A111" s="116"/>
      <c r="B111" s="116"/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29" t="s">
        <v>219</v>
      </c>
      <c r="N111" s="141"/>
      <c r="O111" s="116"/>
      <c r="P111" s="116"/>
      <c r="Q111" s="116"/>
      <c r="R111" s="116"/>
      <c r="S111" s="116"/>
      <c r="T111" s="116"/>
      <c r="U111" s="116"/>
    </row>
    <row r="112" spans="1:21" ht="15.75" thickBot="1" x14ac:dyDescent="0.3">
      <c r="A112" s="116"/>
      <c r="B112" s="116"/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32" t="s">
        <v>215</v>
      </c>
      <c r="N112" s="152"/>
      <c r="O112" s="116"/>
      <c r="P112" s="116"/>
      <c r="Q112" s="116"/>
      <c r="R112" s="116"/>
      <c r="S112" s="116"/>
      <c r="T112" s="116"/>
      <c r="U112" s="116"/>
    </row>
    <row r="113" spans="1:23" x14ac:dyDescent="0.25">
      <c r="A113" s="116"/>
      <c r="B113" s="116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</row>
    <row r="114" spans="1:23" x14ac:dyDescent="0.25">
      <c r="A114" s="116"/>
      <c r="B114" s="116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</row>
    <row r="115" spans="1:23" x14ac:dyDescent="0.25">
      <c r="A115" s="116"/>
      <c r="B115" s="116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</row>
    <row r="116" spans="1:23" x14ac:dyDescent="0.25">
      <c r="A116" s="116"/>
      <c r="B116" s="116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</row>
    <row r="117" spans="1:23" x14ac:dyDescent="0.25">
      <c r="A117" s="116"/>
      <c r="B117" s="116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</row>
    <row r="118" spans="1:23" x14ac:dyDescent="0.25">
      <c r="A118" s="116"/>
      <c r="B118" s="11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16"/>
      <c r="W118" s="116"/>
    </row>
    <row r="119" spans="1:23" x14ac:dyDescent="0.25">
      <c r="A119" s="150"/>
      <c r="B119" s="150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</row>
    <row r="120" spans="1:23" x14ac:dyDescent="0.25">
      <c r="A120" s="291" t="s">
        <v>252</v>
      </c>
      <c r="B120" s="291"/>
      <c r="C120" s="291"/>
      <c r="D120" s="291"/>
      <c r="E120" s="291"/>
      <c r="F120" s="291"/>
      <c r="G120" s="291"/>
      <c r="H120" s="291"/>
      <c r="I120" s="291"/>
      <c r="J120" s="291"/>
      <c r="K120" s="291"/>
      <c r="L120" s="291"/>
      <c r="M120" s="291"/>
      <c r="N120" s="291"/>
      <c r="O120" s="291"/>
      <c r="P120" s="116"/>
      <c r="Q120" s="116"/>
      <c r="R120" s="116"/>
      <c r="S120" s="116"/>
      <c r="T120" s="116"/>
      <c r="U120" s="116"/>
      <c r="V120" s="116"/>
      <c r="W120" s="116"/>
    </row>
    <row r="121" spans="1:23" x14ac:dyDescent="0.25">
      <c r="A121" s="116"/>
      <c r="B121" s="116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</row>
    <row r="122" spans="1:23" ht="15" customHeight="1" x14ac:dyDescent="0.25">
      <c r="A122" s="116"/>
      <c r="B122" s="272" t="s">
        <v>224</v>
      </c>
      <c r="C122" s="272"/>
      <c r="D122" s="272"/>
      <c r="E122" s="272"/>
      <c r="F122" s="116"/>
      <c r="G122" s="116"/>
      <c r="H122" s="116"/>
      <c r="I122" s="272" t="s">
        <v>225</v>
      </c>
      <c r="J122" s="291"/>
      <c r="K122" s="291"/>
      <c r="L122" s="291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</row>
    <row r="123" spans="1:23" ht="15.75" thickBot="1" x14ac:dyDescent="0.3">
      <c r="A123" s="116"/>
      <c r="B123" s="116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</row>
    <row r="124" spans="1:23" x14ac:dyDescent="0.25">
      <c r="A124" s="116"/>
      <c r="B124" s="116"/>
      <c r="C124" s="116"/>
      <c r="D124" s="116"/>
      <c r="E124" s="116"/>
      <c r="F124" s="103" t="s">
        <v>220</v>
      </c>
      <c r="G124" s="151"/>
      <c r="H124" s="116"/>
      <c r="I124" s="116"/>
      <c r="J124" s="116"/>
      <c r="K124" s="116"/>
      <c r="L124" s="116"/>
      <c r="M124" s="127" t="s">
        <v>220</v>
      </c>
      <c r="N124" s="151"/>
      <c r="O124" s="116"/>
      <c r="P124" s="116"/>
      <c r="Q124" s="116"/>
      <c r="R124" s="116"/>
      <c r="S124" s="116"/>
      <c r="T124" s="116"/>
      <c r="U124" s="116"/>
      <c r="V124" s="116"/>
      <c r="W124" s="116"/>
    </row>
    <row r="125" spans="1:23" x14ac:dyDescent="0.25">
      <c r="A125" s="116"/>
      <c r="B125" s="116"/>
      <c r="C125" s="116"/>
      <c r="D125" s="116"/>
      <c r="E125" s="116"/>
      <c r="F125" s="29" t="s">
        <v>221</v>
      </c>
      <c r="G125" s="141"/>
      <c r="H125" s="116"/>
      <c r="I125" s="116"/>
      <c r="J125" s="116"/>
      <c r="K125" s="116"/>
      <c r="L125" s="116"/>
      <c r="M125" s="29" t="s">
        <v>223</v>
      </c>
      <c r="N125" s="141"/>
      <c r="O125" s="116"/>
      <c r="P125" s="116"/>
      <c r="Q125" s="116"/>
      <c r="R125" s="116"/>
      <c r="S125" s="116"/>
      <c r="T125" s="116"/>
      <c r="U125" s="116"/>
      <c r="V125" s="116"/>
      <c r="W125" s="116"/>
    </row>
    <row r="126" spans="1:23" ht="15.75" thickBot="1" x14ac:dyDescent="0.3">
      <c r="A126" s="116"/>
      <c r="B126" s="116"/>
      <c r="C126" s="116"/>
      <c r="D126" s="116"/>
      <c r="E126" s="116"/>
      <c r="F126" s="32" t="s">
        <v>222</v>
      </c>
      <c r="G126" s="152"/>
      <c r="H126" s="116"/>
      <c r="I126" s="116"/>
      <c r="J126" s="116"/>
      <c r="K126" s="116"/>
      <c r="L126" s="116"/>
      <c r="M126" s="29" t="s">
        <v>254</v>
      </c>
      <c r="N126" s="141"/>
      <c r="O126" s="116"/>
      <c r="P126" s="116"/>
      <c r="Q126" s="116"/>
      <c r="R126" s="116"/>
      <c r="S126" s="116"/>
      <c r="T126" s="116"/>
      <c r="U126" s="116"/>
      <c r="V126" s="116"/>
      <c r="W126" s="116"/>
    </row>
    <row r="127" spans="1:23" ht="15.75" thickBot="1" x14ac:dyDescent="0.3">
      <c r="A127" s="116"/>
      <c r="B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32" t="s">
        <v>213</v>
      </c>
      <c r="N127" s="152"/>
      <c r="O127" s="116"/>
      <c r="P127" s="116"/>
      <c r="Q127" s="116"/>
      <c r="R127" s="116"/>
      <c r="S127" s="116"/>
      <c r="T127" s="116"/>
      <c r="U127" s="116"/>
      <c r="V127" s="116"/>
      <c r="W127" s="116"/>
    </row>
    <row r="128" spans="1:23" x14ac:dyDescent="0.25">
      <c r="A128" s="116"/>
      <c r="B128" s="116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</row>
    <row r="129" spans="1:23" x14ac:dyDescent="0.25">
      <c r="A129" s="116"/>
      <c r="B129" s="116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</row>
    <row r="130" spans="1:23" x14ac:dyDescent="0.25">
      <c r="A130" s="116"/>
      <c r="B130" s="116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</row>
    <row r="131" spans="1:23" x14ac:dyDescent="0.25">
      <c r="A131" s="116"/>
      <c r="B131" s="116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</row>
    <row r="132" spans="1:23" x14ac:dyDescent="0.25">
      <c r="A132" s="116"/>
      <c r="B132" s="116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</row>
    <row r="133" spans="1:23" x14ac:dyDescent="0.25">
      <c r="A133" s="116"/>
      <c r="B133" s="116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</row>
    <row r="134" spans="1:23" x14ac:dyDescent="0.25">
      <c r="A134" s="116"/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</row>
    <row r="135" spans="1:23" s="153" customFormat="1" x14ac:dyDescent="0.25">
      <c r="A135" s="150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</row>
    <row r="136" spans="1:23" x14ac:dyDescent="0.25">
      <c r="A136" s="291" t="s">
        <v>253</v>
      </c>
      <c r="B136" s="291"/>
      <c r="C136" s="291"/>
      <c r="D136" s="291"/>
      <c r="E136" s="291"/>
      <c r="F136" s="291"/>
      <c r="G136" s="291"/>
      <c r="H136" s="291"/>
      <c r="I136" s="291"/>
      <c r="J136" s="291"/>
      <c r="K136" s="291"/>
      <c r="L136" s="291"/>
      <c r="M136" s="291"/>
      <c r="N136" s="291"/>
      <c r="O136" s="291"/>
      <c r="P136" s="116"/>
      <c r="Q136" s="116"/>
      <c r="R136" s="116"/>
      <c r="S136" s="116"/>
      <c r="T136" s="116"/>
      <c r="U136" s="116"/>
      <c r="V136" s="116"/>
    </row>
    <row r="137" spans="1:23" ht="15.75" thickBot="1" x14ac:dyDescent="0.3">
      <c r="A137" s="116"/>
      <c r="B137" s="116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</row>
    <row r="138" spans="1:23" x14ac:dyDescent="0.25">
      <c r="A138" s="116"/>
      <c r="B138" s="272"/>
      <c r="C138" s="272"/>
      <c r="D138" s="272"/>
      <c r="E138" s="272"/>
      <c r="F138" s="116"/>
      <c r="G138" s="116"/>
      <c r="H138" s="116"/>
      <c r="I138" s="116"/>
      <c r="J138" s="127" t="s">
        <v>220</v>
      </c>
      <c r="K138" s="151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</row>
    <row r="139" spans="1:23" x14ac:dyDescent="0.25">
      <c r="A139" s="116"/>
      <c r="B139" s="116"/>
      <c r="C139" s="116"/>
      <c r="D139" s="116"/>
      <c r="E139" s="116"/>
      <c r="F139" s="116"/>
      <c r="G139" s="116"/>
      <c r="H139" s="116"/>
      <c r="I139" s="116"/>
      <c r="J139" s="29" t="s">
        <v>223</v>
      </c>
      <c r="K139" s="141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</row>
    <row r="140" spans="1:23" x14ac:dyDescent="0.25">
      <c r="A140" s="116"/>
      <c r="B140" s="116"/>
      <c r="C140" s="116"/>
      <c r="D140" s="116"/>
      <c r="E140" s="116"/>
      <c r="F140" s="116"/>
      <c r="G140" s="116"/>
      <c r="H140" s="116"/>
      <c r="I140" s="116"/>
      <c r="J140" s="29" t="s">
        <v>254</v>
      </c>
      <c r="K140" s="141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</row>
    <row r="141" spans="1:23" ht="15.75" thickBot="1" x14ac:dyDescent="0.3">
      <c r="A141" s="116"/>
      <c r="B141" s="116"/>
      <c r="C141" s="116"/>
      <c r="D141" s="116"/>
      <c r="E141" s="116"/>
      <c r="F141" s="116"/>
      <c r="G141" s="116"/>
      <c r="H141" s="116"/>
      <c r="I141" s="116"/>
      <c r="J141" s="32" t="s">
        <v>213</v>
      </c>
      <c r="K141" s="152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</row>
    <row r="142" spans="1:23" x14ac:dyDescent="0.25">
      <c r="A142" s="116"/>
      <c r="B142" s="116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</row>
    <row r="143" spans="1:23" x14ac:dyDescent="0.25">
      <c r="A143" s="116"/>
      <c r="B143" s="116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</row>
    <row r="144" spans="1:23" x14ac:dyDescent="0.25">
      <c r="A144" s="116"/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</row>
    <row r="145" spans="1:22" x14ac:dyDescent="0.25">
      <c r="A145" s="116"/>
      <c r="B145" s="116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</row>
    <row r="146" spans="1:22" x14ac:dyDescent="0.25">
      <c r="A146" s="116"/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</row>
    <row r="147" spans="1:22" x14ac:dyDescent="0.25">
      <c r="A147" s="116"/>
      <c r="B147" s="116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</row>
    <row r="148" spans="1:22" s="154" customFormat="1" x14ac:dyDescent="0.25">
      <c r="A148" s="136"/>
      <c r="B148" s="136"/>
      <c r="C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</row>
    <row r="149" spans="1:22" hidden="1" x14ac:dyDescent="0.25">
      <c r="A149" s="116"/>
      <c r="B149" s="116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</row>
    <row r="150" spans="1:22" hidden="1" x14ac:dyDescent="0.25">
      <c r="A150" s="116"/>
      <c r="B150" s="116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</row>
    <row r="151" spans="1:22" hidden="1" x14ac:dyDescent="0.25"/>
    <row r="152" spans="1:22" hidden="1" x14ac:dyDescent="0.25"/>
    <row r="153" spans="1:22" hidden="1" x14ac:dyDescent="0.25"/>
    <row r="154" spans="1:22" hidden="1" x14ac:dyDescent="0.25"/>
    <row r="155" spans="1:22" hidden="1" x14ac:dyDescent="0.25"/>
    <row r="156" spans="1:22" hidden="1" x14ac:dyDescent="0.25"/>
    <row r="157" spans="1:22" hidden="1" x14ac:dyDescent="0.25"/>
    <row r="158" spans="1:22" hidden="1" x14ac:dyDescent="0.25"/>
  </sheetData>
  <mergeCells count="72">
    <mergeCell ref="A120:O120"/>
    <mergeCell ref="B122:E122"/>
    <mergeCell ref="I122:L122"/>
    <mergeCell ref="A136:O136"/>
    <mergeCell ref="B138:E138"/>
    <mergeCell ref="B107:E107"/>
    <mergeCell ref="I107:L107"/>
    <mergeCell ref="Q63:S63"/>
    <mergeCell ref="Q64:S64"/>
    <mergeCell ref="Q65:S65"/>
    <mergeCell ref="Q66:S66"/>
    <mergeCell ref="Q68:S68"/>
    <mergeCell ref="A71:O71"/>
    <mergeCell ref="B73:E73"/>
    <mergeCell ref="I73:L73"/>
    <mergeCell ref="A92:O92"/>
    <mergeCell ref="B94:E94"/>
    <mergeCell ref="I94:L94"/>
    <mergeCell ref="Q62:S62"/>
    <mergeCell ref="Q48:S48"/>
    <mergeCell ref="Q49:S49"/>
    <mergeCell ref="Q50:S50"/>
    <mergeCell ref="Q51:S51"/>
    <mergeCell ref="Q55:S55"/>
    <mergeCell ref="Q56:S56"/>
    <mergeCell ref="Q58:S58"/>
    <mergeCell ref="Q59:S59"/>
    <mergeCell ref="Q61:S61"/>
    <mergeCell ref="A53:O53"/>
    <mergeCell ref="Q54:S54"/>
    <mergeCell ref="Q42:S42"/>
    <mergeCell ref="Q43:S43"/>
    <mergeCell ref="Q44:S44"/>
    <mergeCell ref="Q45:S45"/>
    <mergeCell ref="Q46:S46"/>
    <mergeCell ref="Q47:S47"/>
    <mergeCell ref="Q41:S41"/>
    <mergeCell ref="Q30:S30"/>
    <mergeCell ref="Q31:S31"/>
    <mergeCell ref="Q32:S32"/>
    <mergeCell ref="Q33:S33"/>
    <mergeCell ref="Q34:S34"/>
    <mergeCell ref="Q35:S35"/>
    <mergeCell ref="Q36:S36"/>
    <mergeCell ref="Q37:S37"/>
    <mergeCell ref="Q38:S38"/>
    <mergeCell ref="Q39:S39"/>
    <mergeCell ref="Q40:S40"/>
    <mergeCell ref="A29:O29"/>
    <mergeCell ref="Q17:S17"/>
    <mergeCell ref="Q18:S18"/>
    <mergeCell ref="Q19:S19"/>
    <mergeCell ref="Q20:S20"/>
    <mergeCell ref="Q21:S21"/>
    <mergeCell ref="Q22:S22"/>
    <mergeCell ref="Q23:S23"/>
    <mergeCell ref="Q24:S24"/>
    <mergeCell ref="Q25:S25"/>
    <mergeCell ref="Q26:S26"/>
    <mergeCell ref="Q27:S27"/>
    <mergeCell ref="Q16:S16"/>
    <mergeCell ref="F2:K2"/>
    <mergeCell ref="A5:O5"/>
    <mergeCell ref="Q6:S6"/>
    <mergeCell ref="Q7:S7"/>
    <mergeCell ref="Q8:S8"/>
    <mergeCell ref="Q9:S9"/>
    <mergeCell ref="Q10:S10"/>
    <mergeCell ref="Q11:S11"/>
    <mergeCell ref="Q12:S12"/>
    <mergeCell ref="Q13:S13"/>
    <mergeCell ref="Q15:S15"/>
  </mergeCells>
  <pageMargins left="0.7" right="0.7" top="0.75" bottom="0.75" header="0.3" footer="0.3"/>
  <pageSetup paperSize="9" scale="50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Check Box 1">
              <controlPr defaultSize="0" autoFill="0" autoLine="0" autoPict="0">
                <anchor>
                  <from>
                    <xdr:col>6</xdr:col>
                    <xdr:colOff>9525</xdr:colOff>
                    <xdr:row>1</xdr:row>
                    <xdr:rowOff>171450</xdr:rowOff>
                  </from>
                  <to>
                    <xdr:col>6</xdr:col>
                    <xdr:colOff>695325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Check Box 2">
              <controlPr defaultSize="0" autoFill="0" autoLine="0" autoPict="0">
                <anchor>
                  <from>
                    <xdr:col>6</xdr:col>
                    <xdr:colOff>38100</xdr:colOff>
                    <xdr:row>25</xdr:row>
                    <xdr:rowOff>352425</xdr:rowOff>
                  </from>
                  <to>
                    <xdr:col>6</xdr:col>
                    <xdr:colOff>723900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Check Box 3">
              <controlPr defaultSize="0" autoFill="0" autoLine="0" autoPict="0">
                <anchor>
                  <from>
                    <xdr:col>6</xdr:col>
                    <xdr:colOff>28575</xdr:colOff>
                    <xdr:row>49</xdr:row>
                    <xdr:rowOff>323850</xdr:rowOff>
                  </from>
                  <to>
                    <xdr:col>6</xdr:col>
                    <xdr:colOff>704850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7" name="Check Box 4">
              <controlPr defaultSize="0" autoFill="0" autoLine="0" autoPict="0">
                <anchor>
                  <from>
                    <xdr:col>0</xdr:col>
                    <xdr:colOff>171450</xdr:colOff>
                    <xdr:row>69</xdr:row>
                    <xdr:rowOff>171450</xdr:rowOff>
                  </from>
                  <to>
                    <xdr:col>1</xdr:col>
                    <xdr:colOff>390525</xdr:colOff>
                    <xdr:row>73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Check Box 5">
              <controlPr defaultSize="0" autoFill="0" autoLine="0" autoPict="0">
                <anchor>
                  <from>
                    <xdr:col>8</xdr:col>
                    <xdr:colOff>180975</xdr:colOff>
                    <xdr:row>69</xdr:row>
                    <xdr:rowOff>171450</xdr:rowOff>
                  </from>
                  <to>
                    <xdr:col>9</xdr:col>
                    <xdr:colOff>238125</xdr:colOff>
                    <xdr:row>73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9" name="Check Box 6">
              <controlPr defaultSize="0" autoFill="0" autoLine="0" autoPict="0">
                <anchor>
                  <from>
                    <xdr:col>0</xdr:col>
                    <xdr:colOff>180975</xdr:colOff>
                    <xdr:row>90</xdr:row>
                    <xdr:rowOff>104775</xdr:rowOff>
                  </from>
                  <to>
                    <xdr:col>1</xdr:col>
                    <xdr:colOff>409575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0" name="Check Box 7">
              <controlPr defaultSize="0" autoFill="0" autoLine="0" autoPict="0">
                <anchor>
                  <from>
                    <xdr:col>8</xdr:col>
                    <xdr:colOff>190500</xdr:colOff>
                    <xdr:row>90</xdr:row>
                    <xdr:rowOff>133350</xdr:rowOff>
                  </from>
                  <to>
                    <xdr:col>9</xdr:col>
                    <xdr:colOff>276225</xdr:colOff>
                    <xdr:row>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1" name="Check Box 8">
              <controlPr defaultSize="0" autoFill="0" autoLine="0" autoPict="0">
                <anchor>
                  <from>
                    <xdr:col>0</xdr:col>
                    <xdr:colOff>180975</xdr:colOff>
                    <xdr:row>103</xdr:row>
                    <xdr:rowOff>104775</xdr:rowOff>
                  </from>
                  <to>
                    <xdr:col>1</xdr:col>
                    <xdr:colOff>409575</xdr:colOff>
                    <xdr:row>107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2" name="Check Box 9">
              <controlPr defaultSize="0" autoFill="0" autoLine="0" autoPict="0">
                <anchor>
                  <from>
                    <xdr:col>8</xdr:col>
                    <xdr:colOff>190500</xdr:colOff>
                    <xdr:row>103</xdr:row>
                    <xdr:rowOff>133350</xdr:rowOff>
                  </from>
                  <to>
                    <xdr:col>9</xdr:col>
                    <xdr:colOff>276225</xdr:colOff>
                    <xdr:row>107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3" name="Check Box 10">
              <controlPr defaultSize="0" autoFill="0" autoLine="0" autoPict="0">
                <anchor>
                  <from>
                    <xdr:col>0</xdr:col>
                    <xdr:colOff>180975</xdr:colOff>
                    <xdr:row>118</xdr:row>
                    <xdr:rowOff>133350</xdr:rowOff>
                  </from>
                  <to>
                    <xdr:col>1</xdr:col>
                    <xdr:colOff>409575</xdr:colOff>
                    <xdr:row>122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4" name="Check Box 11">
              <controlPr defaultSize="0" autoFill="0" autoLine="0" autoPict="0">
                <anchor>
                  <from>
                    <xdr:col>8</xdr:col>
                    <xdr:colOff>219075</xdr:colOff>
                    <xdr:row>118</xdr:row>
                    <xdr:rowOff>123825</xdr:rowOff>
                  </from>
                  <to>
                    <xdr:col>9</xdr:col>
                    <xdr:colOff>285750</xdr:colOff>
                    <xdr:row>122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Z150"/>
  <sheetViews>
    <sheetView topLeftCell="A81" zoomScale="80" zoomScaleNormal="80" workbookViewId="0">
      <selection activeCell="B107" sqref="B107:E107"/>
    </sheetView>
  </sheetViews>
  <sheetFormatPr defaultColWidth="0" defaultRowHeight="15" zeroHeight="1" x14ac:dyDescent="0.25"/>
  <cols>
    <col min="1" max="1" width="7" style="16" customWidth="1"/>
    <col min="2" max="5" width="9.140625" style="16" customWidth="1"/>
    <col min="6" max="6" width="10.7109375" style="16" customWidth="1"/>
    <col min="7" max="7" width="15.7109375" style="16" customWidth="1"/>
    <col min="8" max="10" width="9.140625" style="16" customWidth="1"/>
    <col min="11" max="11" width="20" style="16" customWidth="1"/>
    <col min="12" max="12" width="12.140625" style="16" customWidth="1"/>
    <col min="13" max="13" width="10.7109375" style="16" customWidth="1"/>
    <col min="14" max="14" width="15.7109375" style="16" customWidth="1"/>
    <col min="15" max="15" width="1.85546875" style="16" customWidth="1"/>
    <col min="16" max="16" width="22.5703125" style="16" customWidth="1"/>
    <col min="17" max="17" width="8.7109375" style="16" customWidth="1"/>
    <col min="18" max="18" width="6.42578125" style="16" customWidth="1"/>
    <col min="19" max="19" width="8.7109375" style="16" customWidth="1"/>
    <col min="20" max="20" width="9.140625" style="16" customWidth="1"/>
    <col min="21" max="23" width="9.140625" style="16" hidden="1" customWidth="1"/>
    <col min="24" max="24" width="18.85546875" style="16" hidden="1" customWidth="1"/>
    <col min="25" max="26" width="17.7109375" style="16" hidden="1" customWidth="1"/>
    <col min="27" max="16384" width="9.140625" style="16" hidden="1"/>
  </cols>
  <sheetData>
    <row r="1" spans="1:22" x14ac:dyDescent="0.25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</row>
    <row r="2" spans="1:22" x14ac:dyDescent="0.25">
      <c r="A2" s="116"/>
      <c r="B2" s="116"/>
      <c r="C2" s="116"/>
      <c r="D2" s="116"/>
      <c r="E2" s="116"/>
      <c r="F2" s="296" t="s">
        <v>259</v>
      </c>
      <c r="G2" s="296"/>
      <c r="H2" s="296"/>
      <c r="I2" s="296"/>
      <c r="J2" s="296"/>
      <c r="K2" s="296"/>
      <c r="L2" s="116"/>
      <c r="M2" s="116"/>
      <c r="N2" s="116"/>
      <c r="O2" s="116"/>
      <c r="P2" s="116"/>
      <c r="Q2" s="116"/>
      <c r="R2" s="116"/>
      <c r="S2" s="116"/>
      <c r="T2" s="116"/>
    </row>
    <row r="3" spans="1:22" x14ac:dyDescent="0.25">
      <c r="A3" s="116"/>
      <c r="B3" s="116"/>
      <c r="C3" s="116"/>
      <c r="D3" s="116"/>
      <c r="E3" s="116"/>
      <c r="F3" s="156"/>
      <c r="G3" s="156"/>
      <c r="H3" s="156"/>
      <c r="I3" s="156"/>
      <c r="J3" s="156"/>
      <c r="K3" s="156"/>
      <c r="L3" s="116"/>
      <c r="M3" s="116"/>
      <c r="N3" s="116"/>
      <c r="O3" s="116"/>
      <c r="P3" s="5" t="s">
        <v>71</v>
      </c>
      <c r="Q3" s="116"/>
      <c r="R3" s="116"/>
      <c r="S3" s="116"/>
      <c r="T3" s="116"/>
    </row>
    <row r="4" spans="1:22" x14ac:dyDescent="0.25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6" t="s">
        <v>72</v>
      </c>
      <c r="Q4" s="116"/>
      <c r="R4" s="116"/>
      <c r="S4" s="116"/>
      <c r="T4" s="116"/>
    </row>
    <row r="5" spans="1:22" ht="20.100000000000001" customHeight="1" thickBot="1" x14ac:dyDescent="0.3">
      <c r="A5" s="272" t="s">
        <v>260</v>
      </c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116"/>
      <c r="Q5" s="116"/>
      <c r="R5" s="116"/>
      <c r="S5" s="116"/>
      <c r="T5" s="116"/>
    </row>
    <row r="6" spans="1:22" ht="15" customHeight="1" x14ac:dyDescent="0.25">
      <c r="A6" s="116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27" t="s">
        <v>263</v>
      </c>
      <c r="Q6" s="297"/>
      <c r="R6" s="298"/>
      <c r="S6" s="299"/>
      <c r="T6" s="116"/>
      <c r="V6" s="16" t="s">
        <v>312</v>
      </c>
    </row>
    <row r="7" spans="1:22" x14ac:dyDescent="0.25">
      <c r="A7" s="116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29" t="s">
        <v>264</v>
      </c>
      <c r="Q7" s="300"/>
      <c r="R7" s="301"/>
      <c r="S7" s="302"/>
      <c r="T7" s="116"/>
      <c r="V7" s="16" t="s">
        <v>311</v>
      </c>
    </row>
    <row r="8" spans="1:22" x14ac:dyDescent="0.25">
      <c r="A8" s="116"/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29" t="s">
        <v>265</v>
      </c>
      <c r="Q8" s="300"/>
      <c r="R8" s="301"/>
      <c r="S8" s="302"/>
      <c r="T8" s="116"/>
    </row>
    <row r="9" spans="1:22" x14ac:dyDescent="0.25">
      <c r="A9" s="116"/>
      <c r="B9" s="116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29" t="s">
        <v>266</v>
      </c>
      <c r="Q9" s="300"/>
      <c r="R9" s="301"/>
      <c r="S9" s="302"/>
      <c r="T9" s="116"/>
    </row>
    <row r="10" spans="1:22" x14ac:dyDescent="0.25">
      <c r="A10" s="116"/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29" t="s">
        <v>267</v>
      </c>
      <c r="Q10" s="300"/>
      <c r="R10" s="301"/>
      <c r="S10" s="302"/>
      <c r="T10" s="116"/>
    </row>
    <row r="11" spans="1:22" x14ac:dyDescent="0.25">
      <c r="A11" s="116"/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29" t="s">
        <v>268</v>
      </c>
      <c r="Q11" s="300"/>
      <c r="R11" s="301"/>
      <c r="S11" s="302"/>
      <c r="T11" s="116"/>
    </row>
    <row r="12" spans="1:22" x14ac:dyDescent="0.25">
      <c r="A12" s="116"/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29" t="s">
        <v>269</v>
      </c>
      <c r="Q12" s="300"/>
      <c r="R12" s="301"/>
      <c r="S12" s="302"/>
      <c r="T12" s="116"/>
    </row>
    <row r="13" spans="1:22" x14ac:dyDescent="0.25">
      <c r="A13" s="116"/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29" t="s">
        <v>270</v>
      </c>
      <c r="Q13" s="300"/>
      <c r="R13" s="301"/>
      <c r="S13" s="302"/>
      <c r="T13" s="116"/>
    </row>
    <row r="14" spans="1:22" x14ac:dyDescent="0.25">
      <c r="A14" s="116"/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6"/>
      <c r="P14" s="29" t="s">
        <v>254</v>
      </c>
      <c r="Q14" s="140"/>
      <c r="R14" s="149" t="s">
        <v>213</v>
      </c>
      <c r="S14" s="141"/>
      <c r="T14" s="116"/>
    </row>
    <row r="15" spans="1:22" x14ac:dyDescent="0.25">
      <c r="A15" s="116"/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6"/>
      <c r="P15" s="29" t="s">
        <v>271</v>
      </c>
      <c r="Q15" s="293"/>
      <c r="R15" s="294"/>
      <c r="S15" s="295"/>
      <c r="T15" s="116"/>
    </row>
    <row r="16" spans="1:22" x14ac:dyDescent="0.25">
      <c r="A16" s="116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29" t="s">
        <v>272</v>
      </c>
      <c r="Q16" s="293"/>
      <c r="R16" s="294"/>
      <c r="S16" s="295"/>
      <c r="T16" s="116"/>
    </row>
    <row r="17" spans="1:20" x14ac:dyDescent="0.25">
      <c r="A17" s="116"/>
      <c r="B17" s="116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29" t="s">
        <v>273</v>
      </c>
      <c r="Q17" s="293"/>
      <c r="R17" s="294"/>
      <c r="S17" s="295"/>
      <c r="T17" s="116"/>
    </row>
    <row r="18" spans="1:20" x14ac:dyDescent="0.25">
      <c r="A18" s="116"/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29" t="s">
        <v>274</v>
      </c>
      <c r="Q18" s="293"/>
      <c r="R18" s="294"/>
      <c r="S18" s="295"/>
      <c r="T18" s="116"/>
    </row>
    <row r="19" spans="1:20" x14ac:dyDescent="0.25">
      <c r="A19" s="116"/>
      <c r="B19" s="11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29" t="s">
        <v>275</v>
      </c>
      <c r="Q19" s="293"/>
      <c r="R19" s="294"/>
      <c r="S19" s="295"/>
      <c r="T19" s="116"/>
    </row>
    <row r="20" spans="1:20" x14ac:dyDescent="0.25">
      <c r="A20" s="116"/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29" t="s">
        <v>276</v>
      </c>
      <c r="Q20" s="293"/>
      <c r="R20" s="294"/>
      <c r="S20" s="295"/>
      <c r="T20" s="116"/>
    </row>
    <row r="21" spans="1:20" x14ac:dyDescent="0.2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29" t="s">
        <v>277</v>
      </c>
      <c r="Q21" s="293"/>
      <c r="R21" s="294"/>
      <c r="S21" s="295"/>
      <c r="T21" s="116"/>
    </row>
    <row r="22" spans="1:20" x14ac:dyDescent="0.2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29" t="s">
        <v>278</v>
      </c>
      <c r="Q22" s="293"/>
      <c r="R22" s="294"/>
      <c r="S22" s="295"/>
      <c r="T22" s="116"/>
    </row>
    <row r="23" spans="1:20" x14ac:dyDescent="0.25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29" t="s">
        <v>279</v>
      </c>
      <c r="Q23" s="293"/>
      <c r="R23" s="294"/>
      <c r="S23" s="295"/>
      <c r="T23" s="116"/>
    </row>
    <row r="24" spans="1:20" ht="15.75" x14ac:dyDescent="0.25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48"/>
      <c r="M24" s="116"/>
      <c r="N24" s="116"/>
      <c r="O24" s="116"/>
      <c r="P24" s="29" t="s">
        <v>280</v>
      </c>
      <c r="Q24" s="293"/>
      <c r="R24" s="294"/>
      <c r="S24" s="295"/>
      <c r="T24" s="116"/>
    </row>
    <row r="25" spans="1:20" x14ac:dyDescent="0.25">
      <c r="A25" s="116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29" t="s">
        <v>281</v>
      </c>
      <c r="Q25" s="269"/>
      <c r="R25" s="269"/>
      <c r="S25" s="270"/>
      <c r="T25" s="116"/>
    </row>
    <row r="26" spans="1:20" ht="28.5" x14ac:dyDescent="0.25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35" t="s">
        <v>310</v>
      </c>
      <c r="Q26" s="303">
        <f>Drawings!Q25</f>
        <v>0</v>
      </c>
      <c r="R26" s="304"/>
      <c r="S26" s="305"/>
      <c r="T26" s="116"/>
    </row>
    <row r="27" spans="1:20" ht="15.75" thickBot="1" x14ac:dyDescent="0.3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32" t="str">
        <f>IF(Q26=V6,"Размеры LxW, мм",IF(Q26=V7,"Диаметр ø, мм"," "))</f>
        <v xml:space="preserve"> </v>
      </c>
      <c r="Q27" s="306"/>
      <c r="R27" s="307"/>
      <c r="S27" s="308"/>
      <c r="T27" s="116"/>
    </row>
    <row r="28" spans="1:20" x14ac:dyDescent="0.25">
      <c r="A28" s="116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</row>
    <row r="29" spans="1:20" ht="20.100000000000001" customHeight="1" thickBot="1" x14ac:dyDescent="0.3">
      <c r="A29" s="272" t="s">
        <v>261</v>
      </c>
      <c r="B29" s="272"/>
      <c r="C29" s="272"/>
      <c r="D29" s="272"/>
      <c r="E29" s="272"/>
      <c r="F29" s="272"/>
      <c r="G29" s="272"/>
      <c r="H29" s="272"/>
      <c r="I29" s="272"/>
      <c r="J29" s="272"/>
      <c r="K29" s="272"/>
      <c r="L29" s="272"/>
      <c r="M29" s="272"/>
      <c r="N29" s="272"/>
      <c r="O29" s="272"/>
      <c r="P29" s="116"/>
      <c r="Q29" s="116"/>
      <c r="R29" s="116"/>
      <c r="S29" s="116"/>
      <c r="T29" s="116"/>
    </row>
    <row r="30" spans="1:20" x14ac:dyDescent="0.25">
      <c r="A30" s="116"/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03" t="s">
        <v>263</v>
      </c>
      <c r="Q30" s="282"/>
      <c r="R30" s="283"/>
      <c r="S30" s="284"/>
      <c r="T30" s="116"/>
    </row>
    <row r="31" spans="1:20" x14ac:dyDescent="0.25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29" t="s">
        <v>264</v>
      </c>
      <c r="Q31" s="279"/>
      <c r="R31" s="280"/>
      <c r="S31" s="281"/>
      <c r="T31" s="116"/>
    </row>
    <row r="32" spans="1:20" x14ac:dyDescent="0.25">
      <c r="A32" s="116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29" t="s">
        <v>265</v>
      </c>
      <c r="Q32" s="279"/>
      <c r="R32" s="280"/>
      <c r="S32" s="281"/>
      <c r="T32" s="116"/>
    </row>
    <row r="33" spans="1:20" x14ac:dyDescent="0.25">
      <c r="A33" s="116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29" t="s">
        <v>266</v>
      </c>
      <c r="Q33" s="279"/>
      <c r="R33" s="280"/>
      <c r="S33" s="281"/>
      <c r="T33" s="116"/>
    </row>
    <row r="34" spans="1:20" x14ac:dyDescent="0.25">
      <c r="A34" s="116"/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29" t="s">
        <v>267</v>
      </c>
      <c r="Q34" s="279"/>
      <c r="R34" s="280"/>
      <c r="S34" s="281"/>
      <c r="T34" s="116"/>
    </row>
    <row r="35" spans="1:20" x14ac:dyDescent="0.25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29" t="s">
        <v>268</v>
      </c>
      <c r="Q35" s="279"/>
      <c r="R35" s="280"/>
      <c r="S35" s="281"/>
      <c r="T35" s="116"/>
    </row>
    <row r="36" spans="1:20" x14ac:dyDescent="0.25">
      <c r="A36" s="116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29" t="s">
        <v>269</v>
      </c>
      <c r="Q36" s="279"/>
      <c r="R36" s="280"/>
      <c r="S36" s="281"/>
      <c r="T36" s="116"/>
    </row>
    <row r="37" spans="1:20" x14ac:dyDescent="0.25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29" t="s">
        <v>271</v>
      </c>
      <c r="Q37" s="279"/>
      <c r="R37" s="280"/>
      <c r="S37" s="281"/>
      <c r="T37" s="116"/>
    </row>
    <row r="38" spans="1:20" x14ac:dyDescent="0.25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29" t="s">
        <v>272</v>
      </c>
      <c r="Q38" s="279"/>
      <c r="R38" s="280"/>
      <c r="S38" s="281"/>
      <c r="T38" s="116"/>
    </row>
    <row r="39" spans="1:20" x14ac:dyDescent="0.25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29" t="s">
        <v>273</v>
      </c>
      <c r="Q39" s="279"/>
      <c r="R39" s="280"/>
      <c r="S39" s="281"/>
      <c r="T39" s="116"/>
    </row>
    <row r="40" spans="1:20" x14ac:dyDescent="0.25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29" t="s">
        <v>274</v>
      </c>
      <c r="Q40" s="279"/>
      <c r="R40" s="280"/>
      <c r="S40" s="281"/>
      <c r="T40" s="116"/>
    </row>
    <row r="41" spans="1:20" x14ac:dyDescent="0.25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29" t="s">
        <v>275</v>
      </c>
      <c r="Q41" s="279"/>
      <c r="R41" s="280"/>
      <c r="S41" s="281"/>
      <c r="T41" s="116"/>
    </row>
    <row r="42" spans="1:20" x14ac:dyDescent="0.25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29" t="s">
        <v>276</v>
      </c>
      <c r="Q42" s="279"/>
      <c r="R42" s="280"/>
      <c r="S42" s="281"/>
      <c r="T42" s="116"/>
    </row>
    <row r="43" spans="1:20" x14ac:dyDescent="0.25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29" t="s">
        <v>277</v>
      </c>
      <c r="Q43" s="279"/>
      <c r="R43" s="280"/>
      <c r="S43" s="281"/>
      <c r="T43" s="116"/>
    </row>
    <row r="44" spans="1:20" x14ac:dyDescent="0.25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29" t="s">
        <v>278</v>
      </c>
      <c r="Q44" s="279"/>
      <c r="R44" s="280"/>
      <c r="S44" s="281"/>
      <c r="T44" s="116"/>
    </row>
    <row r="45" spans="1:20" x14ac:dyDescent="0.25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29" t="s">
        <v>282</v>
      </c>
      <c r="Q45" s="246"/>
      <c r="R45" s="246"/>
      <c r="S45" s="247"/>
      <c r="T45" s="116"/>
    </row>
    <row r="46" spans="1:20" x14ac:dyDescent="0.25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29" t="s">
        <v>279</v>
      </c>
      <c r="Q46" s="246"/>
      <c r="R46" s="246"/>
      <c r="S46" s="247"/>
      <c r="T46" s="116"/>
    </row>
    <row r="47" spans="1:20" x14ac:dyDescent="0.25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29" t="s">
        <v>280</v>
      </c>
      <c r="Q47" s="246"/>
      <c r="R47" s="246"/>
      <c r="S47" s="247"/>
      <c r="T47" s="116"/>
    </row>
    <row r="48" spans="1:20" x14ac:dyDescent="0.25">
      <c r="A48" s="116"/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29" t="s">
        <v>281</v>
      </c>
      <c r="Q48" s="246"/>
      <c r="R48" s="246"/>
      <c r="S48" s="247"/>
      <c r="T48" s="116"/>
    </row>
    <row r="49" spans="1:20" x14ac:dyDescent="0.25">
      <c r="A49" s="116"/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29" t="s">
        <v>283</v>
      </c>
      <c r="Q49" s="246"/>
      <c r="R49" s="246"/>
      <c r="S49" s="247"/>
      <c r="T49" s="116"/>
    </row>
    <row r="50" spans="1:20" ht="28.5" x14ac:dyDescent="0.25">
      <c r="A50" s="116"/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35" t="s">
        <v>310</v>
      </c>
      <c r="Q50" s="309">
        <f>Drawings!Q49</f>
        <v>0</v>
      </c>
      <c r="R50" s="309"/>
      <c r="S50" s="310"/>
      <c r="T50" s="116"/>
    </row>
    <row r="51" spans="1:20" ht="15.75" thickBot="1" x14ac:dyDescent="0.3">
      <c r="A51" s="116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32" t="str">
        <f>IF(Q50=V6,"Размеры LxW, мм",IF(Q50=V7,"Диаметр ø, мм"," "))</f>
        <v xml:space="preserve"> </v>
      </c>
      <c r="Q51" s="289"/>
      <c r="R51" s="289"/>
      <c r="S51" s="290"/>
      <c r="T51" s="116"/>
    </row>
    <row r="52" spans="1:20" x14ac:dyDescent="0.25">
      <c r="A52" s="116"/>
      <c r="B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</row>
    <row r="53" spans="1:20" ht="20.100000000000001" customHeight="1" thickBot="1" x14ac:dyDescent="0.3">
      <c r="A53" s="272" t="s">
        <v>262</v>
      </c>
      <c r="B53" s="272"/>
      <c r="C53" s="272"/>
      <c r="D53" s="272"/>
      <c r="E53" s="272"/>
      <c r="F53" s="272"/>
      <c r="G53" s="272"/>
      <c r="H53" s="272"/>
      <c r="I53" s="272"/>
      <c r="J53" s="272"/>
      <c r="K53" s="272"/>
      <c r="L53" s="272"/>
      <c r="M53" s="272"/>
      <c r="N53" s="272"/>
      <c r="O53" s="272"/>
      <c r="P53" s="116"/>
      <c r="Q53" s="116"/>
      <c r="R53" s="116"/>
      <c r="S53" s="116"/>
      <c r="T53" s="116"/>
    </row>
    <row r="54" spans="1:20" x14ac:dyDescent="0.25">
      <c r="A54" s="116"/>
      <c r="B54" s="116"/>
      <c r="C54" s="116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03" t="s">
        <v>263</v>
      </c>
      <c r="Q54" s="285"/>
      <c r="R54" s="286"/>
      <c r="S54" s="287"/>
      <c r="T54" s="116"/>
    </row>
    <row r="55" spans="1:20" x14ac:dyDescent="0.25">
      <c r="A55" s="116"/>
      <c r="B55" s="116"/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29" t="s">
        <v>264</v>
      </c>
      <c r="Q55" s="189"/>
      <c r="R55" s="288"/>
      <c r="S55" s="190"/>
      <c r="T55" s="116"/>
    </row>
    <row r="56" spans="1:20" x14ac:dyDescent="0.25">
      <c r="A56" s="116"/>
      <c r="B56" s="116"/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29" t="s">
        <v>265</v>
      </c>
      <c r="Q56" s="189"/>
      <c r="R56" s="288"/>
      <c r="S56" s="190"/>
      <c r="T56" s="116"/>
    </row>
    <row r="57" spans="1:20" x14ac:dyDescent="0.25">
      <c r="A57" s="116"/>
      <c r="B57" s="116"/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29" t="s">
        <v>266</v>
      </c>
      <c r="Q57" s="142"/>
      <c r="R57" s="143"/>
      <c r="S57" s="144"/>
      <c r="T57" s="116"/>
    </row>
    <row r="58" spans="1:20" x14ac:dyDescent="0.25">
      <c r="A58" s="116"/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29" t="s">
        <v>267</v>
      </c>
      <c r="Q58" s="189"/>
      <c r="R58" s="288"/>
      <c r="S58" s="190"/>
      <c r="T58" s="116"/>
    </row>
    <row r="59" spans="1:20" x14ac:dyDescent="0.25">
      <c r="A59" s="116"/>
      <c r="B59" s="116"/>
      <c r="C59" s="116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  <c r="O59" s="116"/>
      <c r="P59" s="29" t="s">
        <v>268</v>
      </c>
      <c r="Q59" s="189"/>
      <c r="R59" s="288"/>
      <c r="S59" s="190"/>
      <c r="T59" s="116"/>
    </row>
    <row r="60" spans="1:20" x14ac:dyDescent="0.25">
      <c r="A60" s="116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29" t="s">
        <v>254</v>
      </c>
      <c r="Q60" s="138"/>
      <c r="R60" s="137" t="s">
        <v>213</v>
      </c>
      <c r="S60" s="139"/>
      <c r="T60" s="116"/>
    </row>
    <row r="61" spans="1:20" x14ac:dyDescent="0.25">
      <c r="A61" s="116"/>
      <c r="B61" s="116"/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6"/>
      <c r="P61" s="29" t="s">
        <v>271</v>
      </c>
      <c r="Q61" s="189"/>
      <c r="R61" s="288"/>
      <c r="S61" s="190"/>
      <c r="T61" s="116"/>
    </row>
    <row r="62" spans="1:20" x14ac:dyDescent="0.25">
      <c r="A62" s="116"/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29" t="s">
        <v>272</v>
      </c>
      <c r="Q62" s="189"/>
      <c r="R62" s="288"/>
      <c r="S62" s="190"/>
      <c r="T62" s="116"/>
    </row>
    <row r="63" spans="1:20" x14ac:dyDescent="0.25">
      <c r="A63" s="116"/>
      <c r="B63" s="116"/>
      <c r="C63" s="116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29" t="s">
        <v>273</v>
      </c>
      <c r="Q63" s="189"/>
      <c r="R63" s="288"/>
      <c r="S63" s="190"/>
      <c r="T63" s="116"/>
    </row>
    <row r="64" spans="1:20" x14ac:dyDescent="0.25">
      <c r="A64" s="116"/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29" t="s">
        <v>274</v>
      </c>
      <c r="Q64" s="189"/>
      <c r="R64" s="288"/>
      <c r="S64" s="190"/>
      <c r="T64" s="116"/>
    </row>
    <row r="65" spans="1:21" x14ac:dyDescent="0.25">
      <c r="A65" s="116"/>
      <c r="B65" s="11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29" t="s">
        <v>279</v>
      </c>
      <c r="Q65" s="189"/>
      <c r="R65" s="288"/>
      <c r="S65" s="190"/>
      <c r="T65" s="116"/>
    </row>
    <row r="66" spans="1:21" x14ac:dyDescent="0.25">
      <c r="A66" s="116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29" t="s">
        <v>280</v>
      </c>
      <c r="Q66" s="189"/>
      <c r="R66" s="288"/>
      <c r="S66" s="190"/>
      <c r="T66" s="116"/>
    </row>
    <row r="67" spans="1:21" x14ac:dyDescent="0.25">
      <c r="A67" s="116"/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29" t="s">
        <v>281</v>
      </c>
      <c r="Q67" s="145"/>
      <c r="R67" s="146"/>
      <c r="S67" s="147"/>
      <c r="T67" s="116"/>
    </row>
    <row r="68" spans="1:21" ht="15.75" thickBot="1" x14ac:dyDescent="0.3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32" t="s">
        <v>283</v>
      </c>
      <c r="Q68" s="262"/>
      <c r="R68" s="292"/>
      <c r="S68" s="263"/>
      <c r="T68" s="116"/>
    </row>
    <row r="69" spans="1:21" x14ac:dyDescent="0.2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</row>
    <row r="70" spans="1:21" x14ac:dyDescent="0.25">
      <c r="A70" s="116"/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</row>
    <row r="71" spans="1:21" x14ac:dyDescent="0.25">
      <c r="A71" s="291" t="s">
        <v>298</v>
      </c>
      <c r="B71" s="291"/>
      <c r="C71" s="291"/>
      <c r="D71" s="291"/>
      <c r="E71" s="291"/>
      <c r="F71" s="291"/>
      <c r="G71" s="291"/>
      <c r="H71" s="291"/>
      <c r="I71" s="291"/>
      <c r="J71" s="291"/>
      <c r="K71" s="291"/>
      <c r="L71" s="291"/>
      <c r="M71" s="291"/>
      <c r="N71" s="291"/>
      <c r="O71" s="291"/>
      <c r="P71" s="116"/>
      <c r="Q71" s="116"/>
      <c r="R71" s="116"/>
      <c r="S71" s="116"/>
      <c r="T71" s="116"/>
      <c r="U71" s="116"/>
    </row>
    <row r="72" spans="1:21" x14ac:dyDescent="0.25">
      <c r="A72" s="116"/>
      <c r="B72" s="116"/>
      <c r="C72" s="116"/>
      <c r="D72" s="116"/>
      <c r="E72" s="116"/>
      <c r="F72" s="116"/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</row>
    <row r="73" spans="1:21" ht="20.100000000000001" customHeight="1" x14ac:dyDescent="0.25">
      <c r="A73" s="116"/>
      <c r="B73" s="272" t="s">
        <v>299</v>
      </c>
      <c r="C73" s="272"/>
      <c r="D73" s="272"/>
      <c r="E73" s="272"/>
      <c r="F73" s="116"/>
      <c r="G73" s="116"/>
      <c r="H73" s="116"/>
      <c r="I73" s="272" t="s">
        <v>300</v>
      </c>
      <c r="J73" s="272"/>
      <c r="K73" s="272"/>
      <c r="L73" s="272"/>
      <c r="N73" s="116"/>
      <c r="O73" s="116"/>
      <c r="P73" s="116"/>
      <c r="Q73" s="116"/>
      <c r="R73" s="116"/>
      <c r="S73" s="116"/>
      <c r="T73" s="116"/>
      <c r="U73" s="116"/>
    </row>
    <row r="74" spans="1:21" ht="15.75" thickBot="1" x14ac:dyDescent="0.3">
      <c r="A74" s="116"/>
      <c r="B74" s="116"/>
      <c r="C74" s="116"/>
      <c r="D74" s="116"/>
      <c r="E74" s="116"/>
      <c r="F74" s="116"/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</row>
    <row r="75" spans="1:21" x14ac:dyDescent="0.25">
      <c r="A75" s="116"/>
      <c r="B75" s="116"/>
      <c r="C75" s="116"/>
      <c r="D75" s="116"/>
      <c r="E75" s="116"/>
      <c r="F75" s="103" t="s">
        <v>263</v>
      </c>
      <c r="G75" s="151">
        <v>200</v>
      </c>
      <c r="H75" s="116"/>
      <c r="I75" s="116"/>
      <c r="J75" s="116"/>
      <c r="K75" s="116"/>
      <c r="L75" s="116"/>
      <c r="M75" s="103" t="s">
        <v>291</v>
      </c>
      <c r="N75" s="151"/>
      <c r="O75" s="116"/>
      <c r="P75" s="116"/>
      <c r="Q75" s="116"/>
      <c r="R75" s="116"/>
      <c r="S75" s="116"/>
      <c r="T75" s="116"/>
      <c r="U75" s="116"/>
    </row>
    <row r="76" spans="1:21" x14ac:dyDescent="0.25">
      <c r="A76" s="116"/>
      <c r="B76" s="116"/>
      <c r="C76" s="116"/>
      <c r="D76" s="116"/>
      <c r="E76" s="116"/>
      <c r="F76" s="29" t="s">
        <v>284</v>
      </c>
      <c r="G76" s="141"/>
      <c r="H76" s="116"/>
      <c r="I76" s="116"/>
      <c r="J76" s="116"/>
      <c r="K76" s="116"/>
      <c r="L76" s="116"/>
      <c r="M76" s="29" t="s">
        <v>263</v>
      </c>
      <c r="N76" s="141">
        <v>200</v>
      </c>
      <c r="O76" s="116"/>
      <c r="P76" s="116"/>
      <c r="Q76" s="116"/>
      <c r="R76" s="116"/>
      <c r="S76" s="116"/>
      <c r="T76" s="116"/>
      <c r="U76" s="116"/>
    </row>
    <row r="77" spans="1:21" x14ac:dyDescent="0.25">
      <c r="A77" s="116"/>
      <c r="B77" s="116"/>
      <c r="C77" s="116"/>
      <c r="D77" s="116"/>
      <c r="E77" s="116"/>
      <c r="F77" s="29" t="s">
        <v>285</v>
      </c>
      <c r="G77" s="141">
        <v>500</v>
      </c>
      <c r="H77" s="116"/>
      <c r="I77" s="116"/>
      <c r="J77" s="116"/>
      <c r="K77" s="116"/>
      <c r="L77" s="116"/>
      <c r="M77" s="29" t="s">
        <v>284</v>
      </c>
      <c r="N77" s="141"/>
      <c r="O77" s="116"/>
      <c r="P77" s="116"/>
      <c r="Q77" s="116"/>
      <c r="R77" s="116"/>
      <c r="S77" s="116"/>
      <c r="T77" s="116"/>
      <c r="U77" s="116"/>
    </row>
    <row r="78" spans="1:21" x14ac:dyDescent="0.25">
      <c r="A78" s="116"/>
      <c r="B78" s="116"/>
      <c r="C78" s="116"/>
      <c r="D78" s="116"/>
      <c r="E78" s="116"/>
      <c r="F78" s="29" t="s">
        <v>286</v>
      </c>
      <c r="G78" s="141"/>
      <c r="H78" s="116"/>
      <c r="I78" s="116"/>
      <c r="J78" s="116"/>
      <c r="K78" s="116"/>
      <c r="L78" s="116"/>
      <c r="M78" s="29" t="s">
        <v>285</v>
      </c>
      <c r="N78" s="141">
        <v>500</v>
      </c>
      <c r="O78" s="116"/>
      <c r="P78" s="116"/>
      <c r="Q78" s="116"/>
      <c r="R78" s="116"/>
      <c r="S78" s="116"/>
      <c r="T78" s="116"/>
      <c r="U78" s="116"/>
    </row>
    <row r="79" spans="1:21" x14ac:dyDescent="0.25">
      <c r="A79" s="116"/>
      <c r="B79" s="116"/>
      <c r="C79" s="116"/>
      <c r="D79" s="116"/>
      <c r="E79" s="116"/>
      <c r="F79" s="29" t="s">
        <v>287</v>
      </c>
      <c r="G79" s="141"/>
      <c r="H79" s="116"/>
      <c r="I79" s="116"/>
      <c r="J79" s="116"/>
      <c r="K79" s="116"/>
      <c r="L79" s="116"/>
      <c r="M79" s="29" t="s">
        <v>286</v>
      </c>
      <c r="N79" s="141"/>
      <c r="O79" s="116"/>
      <c r="P79" s="116"/>
      <c r="Q79" s="116"/>
      <c r="R79" s="116"/>
      <c r="S79" s="116"/>
      <c r="T79" s="116"/>
      <c r="U79" s="116"/>
    </row>
    <row r="80" spans="1:21" x14ac:dyDescent="0.25">
      <c r="A80" s="116"/>
      <c r="B80" s="116"/>
      <c r="C80" s="116"/>
      <c r="D80" s="116"/>
      <c r="E80" s="116"/>
      <c r="F80" s="29" t="s">
        <v>288</v>
      </c>
      <c r="G80" s="141"/>
      <c r="H80" s="116"/>
      <c r="I80" s="116"/>
      <c r="J80" s="116"/>
      <c r="K80" s="116"/>
      <c r="L80" s="116"/>
      <c r="M80" s="29" t="s">
        <v>287</v>
      </c>
      <c r="N80" s="141"/>
      <c r="O80" s="116"/>
      <c r="P80" s="116"/>
      <c r="Q80" s="116"/>
      <c r="R80" s="116"/>
      <c r="S80" s="116"/>
      <c r="T80" s="116"/>
      <c r="U80" s="116"/>
    </row>
    <row r="81" spans="1:21" x14ac:dyDescent="0.25">
      <c r="A81" s="116"/>
      <c r="B81" s="116"/>
      <c r="C81" s="116"/>
      <c r="D81" s="116"/>
      <c r="E81" s="116"/>
      <c r="F81" s="29" t="s">
        <v>289</v>
      </c>
      <c r="G81" s="141"/>
      <c r="H81" s="116"/>
      <c r="I81" s="116"/>
      <c r="J81" s="116"/>
      <c r="K81" s="116"/>
      <c r="L81" s="116"/>
      <c r="M81" s="29" t="s">
        <v>288</v>
      </c>
      <c r="N81" s="141"/>
      <c r="O81" s="116"/>
      <c r="P81" s="116"/>
      <c r="Q81" s="116"/>
      <c r="R81" s="116"/>
      <c r="S81" s="116"/>
      <c r="T81" s="116"/>
      <c r="U81" s="116"/>
    </row>
    <row r="82" spans="1:21" ht="15.75" thickBot="1" x14ac:dyDescent="0.3">
      <c r="A82" s="116"/>
      <c r="B82" s="116"/>
      <c r="C82" s="116"/>
      <c r="D82" s="116"/>
      <c r="E82" s="116"/>
      <c r="F82" s="32" t="s">
        <v>290</v>
      </c>
      <c r="G82" s="152"/>
      <c r="H82" s="116"/>
      <c r="I82" s="116"/>
      <c r="J82" s="116"/>
      <c r="K82" s="116"/>
      <c r="L82" s="116"/>
      <c r="M82" s="29" t="s">
        <v>289</v>
      </c>
      <c r="N82" s="141"/>
      <c r="O82" s="116"/>
      <c r="P82" s="116"/>
      <c r="Q82" s="116"/>
      <c r="R82" s="116"/>
      <c r="S82" s="116"/>
      <c r="T82" s="116"/>
      <c r="U82" s="116"/>
    </row>
    <row r="83" spans="1:21" ht="15.75" thickBot="1" x14ac:dyDescent="0.3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32" t="s">
        <v>290</v>
      </c>
      <c r="N83" s="152"/>
      <c r="O83" s="116"/>
      <c r="P83" s="116"/>
      <c r="Q83" s="116"/>
      <c r="R83" s="116"/>
      <c r="S83" s="116"/>
      <c r="T83" s="116"/>
      <c r="U83" s="116"/>
    </row>
    <row r="84" spans="1:21" x14ac:dyDescent="0.25">
      <c r="A84" s="116"/>
      <c r="B84" s="116"/>
      <c r="C84" s="116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</row>
    <row r="85" spans="1:21" x14ac:dyDescent="0.25">
      <c r="A85" s="116"/>
      <c r="B85" s="116"/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</row>
    <row r="86" spans="1:21" x14ac:dyDescent="0.25">
      <c r="A86" s="116"/>
      <c r="B86" s="116"/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</row>
    <row r="87" spans="1:21" x14ac:dyDescent="0.25">
      <c r="A87" s="116"/>
      <c r="B87" s="116"/>
      <c r="C87" s="116"/>
      <c r="D87" s="116"/>
      <c r="E87" s="116"/>
      <c r="F87" s="116"/>
      <c r="G87" s="116"/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</row>
    <row r="88" spans="1:21" x14ac:dyDescent="0.25">
      <c r="A88" s="116"/>
      <c r="B88" s="116"/>
      <c r="C88" s="116"/>
      <c r="D88" s="116"/>
      <c r="E88" s="116"/>
      <c r="F88" s="116"/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</row>
    <row r="89" spans="1:21" x14ac:dyDescent="0.25">
      <c r="A89" s="116"/>
      <c r="B89" s="116"/>
      <c r="C89" s="116"/>
      <c r="D89" s="116"/>
      <c r="E89" s="116"/>
      <c r="F89" s="116"/>
      <c r="G89" s="116"/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</row>
    <row r="90" spans="1:21" x14ac:dyDescent="0.25">
      <c r="A90" s="116"/>
      <c r="B90" s="116"/>
      <c r="C90" s="136"/>
      <c r="D90" s="136"/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x14ac:dyDescent="0.25">
      <c r="A91" s="150"/>
      <c r="B91" s="150"/>
      <c r="C91" s="116"/>
      <c r="D91" s="116"/>
      <c r="E91" s="116"/>
      <c r="F91" s="116"/>
      <c r="G91" s="116"/>
      <c r="H91" s="116"/>
      <c r="I91" s="116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</row>
    <row r="92" spans="1:21" x14ac:dyDescent="0.25">
      <c r="A92" s="291" t="s">
        <v>301</v>
      </c>
      <c r="B92" s="291"/>
      <c r="C92" s="291"/>
      <c r="D92" s="291"/>
      <c r="E92" s="291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116"/>
      <c r="Q92" s="116"/>
      <c r="R92" s="116"/>
      <c r="S92" s="116"/>
      <c r="T92" s="116"/>
      <c r="U92" s="116"/>
    </row>
    <row r="93" spans="1:21" x14ac:dyDescent="0.25">
      <c r="A93" s="116"/>
      <c r="B93" s="116"/>
      <c r="C93" s="116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O93" s="116"/>
      <c r="P93" s="116"/>
      <c r="Q93" s="116"/>
      <c r="R93" s="116"/>
      <c r="S93" s="116"/>
      <c r="T93" s="116"/>
      <c r="U93" s="116"/>
    </row>
    <row r="94" spans="1:21" s="116" customFormat="1" x14ac:dyDescent="0.25">
      <c r="B94" s="291" t="s">
        <v>302</v>
      </c>
      <c r="C94" s="291"/>
      <c r="D94" s="291"/>
      <c r="E94" s="291"/>
      <c r="I94" s="291" t="s">
        <v>303</v>
      </c>
      <c r="J94" s="291"/>
      <c r="K94" s="291"/>
      <c r="L94" s="291"/>
    </row>
    <row r="95" spans="1:21" s="116" customFormat="1" x14ac:dyDescent="0.25"/>
    <row r="96" spans="1:21" x14ac:dyDescent="0.25">
      <c r="A96" s="116"/>
      <c r="B96" s="116"/>
      <c r="C96" s="116"/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</row>
    <row r="97" spans="1:21" x14ac:dyDescent="0.25">
      <c r="A97" s="116"/>
      <c r="B97" s="116"/>
      <c r="C97" s="116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</row>
    <row r="98" spans="1:21" x14ac:dyDescent="0.25">
      <c r="A98" s="116"/>
      <c r="B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</row>
    <row r="99" spans="1:21" x14ac:dyDescent="0.25">
      <c r="A99" s="116"/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</row>
    <row r="100" spans="1:21" x14ac:dyDescent="0.25">
      <c r="A100" s="116"/>
      <c r="B100" s="116"/>
      <c r="C100" s="116"/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</row>
    <row r="101" spans="1:21" x14ac:dyDescent="0.25">
      <c r="A101" s="116"/>
      <c r="B101" s="116"/>
      <c r="C101" s="116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</row>
    <row r="102" spans="1:21" x14ac:dyDescent="0.25">
      <c r="A102" s="116"/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</row>
    <row r="103" spans="1:21" x14ac:dyDescent="0.25">
      <c r="A103" s="116"/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</row>
    <row r="104" spans="1:21" x14ac:dyDescent="0.25">
      <c r="A104" s="116"/>
      <c r="B104" s="116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</row>
    <row r="105" spans="1:21" x14ac:dyDescent="0.25">
      <c r="A105" s="116"/>
      <c r="B105" s="116"/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</row>
    <row r="106" spans="1:21" x14ac:dyDescent="0.25">
      <c r="A106" s="116"/>
      <c r="B106" s="116"/>
      <c r="C106" s="11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</row>
    <row r="107" spans="1:21" ht="15" customHeight="1" x14ac:dyDescent="0.25">
      <c r="A107" s="116"/>
      <c r="B107" s="291" t="s">
        <v>304</v>
      </c>
      <c r="C107" s="291"/>
      <c r="D107" s="291"/>
      <c r="E107" s="291"/>
      <c r="F107" s="116"/>
      <c r="G107" s="116"/>
      <c r="H107" s="116"/>
      <c r="I107" s="291" t="s">
        <v>305</v>
      </c>
      <c r="J107" s="291"/>
      <c r="K107" s="291"/>
      <c r="L107" s="291"/>
      <c r="M107" s="116"/>
      <c r="N107" s="116"/>
      <c r="O107" s="116"/>
      <c r="P107" s="116"/>
      <c r="Q107" s="116"/>
      <c r="R107" s="116"/>
      <c r="S107" s="116"/>
      <c r="T107" s="116"/>
      <c r="U107" s="116"/>
    </row>
    <row r="108" spans="1:21" ht="15.75" thickBot="1" x14ac:dyDescent="0.3">
      <c r="A108" s="116"/>
      <c r="B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</row>
    <row r="109" spans="1:21" x14ac:dyDescent="0.25">
      <c r="A109" s="116"/>
      <c r="B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103" t="s">
        <v>229</v>
      </c>
      <c r="N109" s="151"/>
      <c r="O109" s="116"/>
      <c r="P109" s="116"/>
      <c r="Q109" s="116"/>
      <c r="R109" s="116"/>
      <c r="S109" s="116"/>
      <c r="T109" s="116"/>
      <c r="U109" s="116"/>
    </row>
    <row r="110" spans="1:21" x14ac:dyDescent="0.25">
      <c r="A110" s="116"/>
      <c r="B110" s="116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29" t="s">
        <v>292</v>
      </c>
      <c r="N110" s="141"/>
      <c r="O110" s="116"/>
      <c r="P110" s="116"/>
      <c r="Q110" s="116"/>
      <c r="R110" s="116"/>
      <c r="S110" s="116"/>
      <c r="T110" s="116"/>
      <c r="U110" s="116"/>
    </row>
    <row r="111" spans="1:21" x14ac:dyDescent="0.25">
      <c r="A111" s="116"/>
      <c r="B111" s="116"/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29" t="s">
        <v>293</v>
      </c>
      <c r="N111" s="141"/>
      <c r="O111" s="116"/>
      <c r="P111" s="116"/>
      <c r="Q111" s="116"/>
      <c r="R111" s="116"/>
      <c r="S111" s="116"/>
      <c r="T111" s="116"/>
      <c r="U111" s="116"/>
    </row>
    <row r="112" spans="1:21" ht="15.75" thickBot="1" x14ac:dyDescent="0.3">
      <c r="A112" s="116"/>
      <c r="B112" s="116"/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32" t="s">
        <v>271</v>
      </c>
      <c r="N112" s="152"/>
      <c r="O112" s="116"/>
      <c r="P112" s="116"/>
      <c r="Q112" s="116"/>
      <c r="R112" s="116"/>
      <c r="S112" s="116"/>
      <c r="T112" s="116"/>
      <c r="U112" s="116"/>
    </row>
    <row r="113" spans="1:23" x14ac:dyDescent="0.25">
      <c r="A113" s="116"/>
      <c r="B113" s="116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</row>
    <row r="114" spans="1:23" x14ac:dyDescent="0.25">
      <c r="A114" s="116"/>
      <c r="B114" s="116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</row>
    <row r="115" spans="1:23" x14ac:dyDescent="0.25">
      <c r="A115" s="116"/>
      <c r="B115" s="116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</row>
    <row r="116" spans="1:23" x14ac:dyDescent="0.25">
      <c r="A116" s="116"/>
      <c r="B116" s="116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</row>
    <row r="117" spans="1:23" x14ac:dyDescent="0.25">
      <c r="A117" s="116"/>
      <c r="B117" s="116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</row>
    <row r="118" spans="1:23" x14ac:dyDescent="0.25">
      <c r="A118" s="116"/>
      <c r="B118" s="11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16"/>
      <c r="W118" s="116"/>
    </row>
    <row r="119" spans="1:23" x14ac:dyDescent="0.25">
      <c r="A119" s="150"/>
      <c r="B119" s="150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</row>
    <row r="120" spans="1:23" x14ac:dyDescent="0.25">
      <c r="A120" s="291" t="s">
        <v>306</v>
      </c>
      <c r="B120" s="291"/>
      <c r="C120" s="291"/>
      <c r="D120" s="291"/>
      <c r="E120" s="291"/>
      <c r="F120" s="291"/>
      <c r="G120" s="291"/>
      <c r="H120" s="291"/>
      <c r="I120" s="291"/>
      <c r="J120" s="291"/>
      <c r="K120" s="291"/>
      <c r="L120" s="291"/>
      <c r="M120" s="291"/>
      <c r="N120" s="291"/>
      <c r="O120" s="291"/>
      <c r="P120" s="116"/>
      <c r="Q120" s="116"/>
      <c r="R120" s="116"/>
      <c r="S120" s="116"/>
      <c r="T120" s="116"/>
      <c r="U120" s="116"/>
      <c r="V120" s="116"/>
      <c r="W120" s="116"/>
    </row>
    <row r="121" spans="1:23" x14ac:dyDescent="0.25">
      <c r="A121" s="116"/>
      <c r="B121" s="116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</row>
    <row r="122" spans="1:23" ht="15" customHeight="1" x14ac:dyDescent="0.25">
      <c r="A122" s="116"/>
      <c r="B122" s="272" t="s">
        <v>307</v>
      </c>
      <c r="C122" s="272"/>
      <c r="D122" s="272"/>
      <c r="E122" s="272"/>
      <c r="F122" s="116"/>
      <c r="G122" s="116"/>
      <c r="H122" s="116"/>
      <c r="I122" s="272" t="s">
        <v>308</v>
      </c>
      <c r="J122" s="291"/>
      <c r="K122" s="291"/>
      <c r="L122" s="291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</row>
    <row r="123" spans="1:23" ht="15.75" thickBot="1" x14ac:dyDescent="0.3">
      <c r="A123" s="116"/>
      <c r="B123" s="116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</row>
    <row r="124" spans="1:23" x14ac:dyDescent="0.25">
      <c r="A124" s="116"/>
      <c r="B124" s="116"/>
      <c r="C124" s="116"/>
      <c r="D124" s="116"/>
      <c r="E124" s="116"/>
      <c r="F124" s="103" t="s">
        <v>294</v>
      </c>
      <c r="G124" s="151"/>
      <c r="H124" s="116"/>
      <c r="I124" s="116"/>
      <c r="J124" s="116"/>
      <c r="K124" s="116"/>
      <c r="L124" s="116"/>
      <c r="M124" s="127" t="s">
        <v>294</v>
      </c>
      <c r="N124" s="151"/>
      <c r="O124" s="116"/>
      <c r="P124" s="116"/>
      <c r="Q124" s="116"/>
      <c r="R124" s="116"/>
      <c r="S124" s="116"/>
      <c r="T124" s="116"/>
      <c r="U124" s="116"/>
      <c r="V124" s="116"/>
      <c r="W124" s="116"/>
    </row>
    <row r="125" spans="1:23" x14ac:dyDescent="0.25">
      <c r="A125" s="116"/>
      <c r="B125" s="116"/>
      <c r="C125" s="116"/>
      <c r="D125" s="116"/>
      <c r="E125" s="116"/>
      <c r="F125" s="29" t="s">
        <v>295</v>
      </c>
      <c r="G125" s="141"/>
      <c r="H125" s="116"/>
      <c r="I125" s="116"/>
      <c r="J125" s="116"/>
      <c r="K125" s="116"/>
      <c r="L125" s="116"/>
      <c r="M125" s="29" t="s">
        <v>297</v>
      </c>
      <c r="N125" s="141"/>
      <c r="O125" s="116"/>
      <c r="P125" s="116"/>
      <c r="Q125" s="116"/>
      <c r="R125" s="116"/>
      <c r="S125" s="116"/>
      <c r="T125" s="116"/>
      <c r="U125" s="116"/>
      <c r="V125" s="116"/>
      <c r="W125" s="116"/>
    </row>
    <row r="126" spans="1:23" ht="15.75" thickBot="1" x14ac:dyDescent="0.3">
      <c r="A126" s="116"/>
      <c r="B126" s="116"/>
      <c r="C126" s="116"/>
      <c r="D126" s="116"/>
      <c r="E126" s="116"/>
      <c r="F126" s="32" t="s">
        <v>296</v>
      </c>
      <c r="G126" s="152"/>
      <c r="H126" s="116"/>
      <c r="I126" s="116"/>
      <c r="J126" s="116"/>
      <c r="K126" s="116"/>
      <c r="L126" s="116"/>
      <c r="M126" s="29" t="s">
        <v>254</v>
      </c>
      <c r="N126" s="141"/>
      <c r="O126" s="116"/>
      <c r="P126" s="116"/>
      <c r="Q126" s="116"/>
      <c r="R126" s="116"/>
      <c r="S126" s="116"/>
      <c r="T126" s="116"/>
      <c r="U126" s="116"/>
      <c r="V126" s="116"/>
      <c r="W126" s="116"/>
    </row>
    <row r="127" spans="1:23" ht="15.75" thickBot="1" x14ac:dyDescent="0.3">
      <c r="A127" s="116"/>
      <c r="B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32" t="s">
        <v>213</v>
      </c>
      <c r="N127" s="152"/>
      <c r="O127" s="116"/>
      <c r="P127" s="116"/>
      <c r="Q127" s="116"/>
      <c r="R127" s="116"/>
      <c r="S127" s="116"/>
      <c r="T127" s="116"/>
      <c r="U127" s="116"/>
      <c r="V127" s="116"/>
      <c r="W127" s="116"/>
    </row>
    <row r="128" spans="1:23" x14ac:dyDescent="0.25">
      <c r="A128" s="116"/>
      <c r="B128" s="116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</row>
    <row r="129" spans="1:23" x14ac:dyDescent="0.25">
      <c r="A129" s="116"/>
      <c r="B129" s="116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</row>
    <row r="130" spans="1:23" x14ac:dyDescent="0.25">
      <c r="A130" s="116"/>
      <c r="B130" s="116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</row>
    <row r="131" spans="1:23" x14ac:dyDescent="0.25">
      <c r="A131" s="116"/>
      <c r="B131" s="116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</row>
    <row r="132" spans="1:23" x14ac:dyDescent="0.25">
      <c r="A132" s="116"/>
      <c r="B132" s="116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</row>
    <row r="133" spans="1:23" x14ac:dyDescent="0.25">
      <c r="A133" s="116"/>
      <c r="B133" s="116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</row>
    <row r="134" spans="1:23" x14ac:dyDescent="0.25">
      <c r="A134" s="116"/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</row>
    <row r="135" spans="1:23" s="153" customFormat="1" x14ac:dyDescent="0.25">
      <c r="A135" s="150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</row>
    <row r="136" spans="1:23" x14ac:dyDescent="0.25">
      <c r="A136" s="291" t="s">
        <v>309</v>
      </c>
      <c r="B136" s="291"/>
      <c r="C136" s="291"/>
      <c r="D136" s="291"/>
      <c r="E136" s="291"/>
      <c r="F136" s="291"/>
      <c r="G136" s="291"/>
      <c r="H136" s="291"/>
      <c r="I136" s="291"/>
      <c r="J136" s="291"/>
      <c r="K136" s="291"/>
      <c r="L136" s="291"/>
      <c r="M136" s="291"/>
      <c r="N136" s="291"/>
      <c r="O136" s="291"/>
      <c r="P136" s="116"/>
      <c r="Q136" s="116"/>
      <c r="R136" s="116"/>
      <c r="S136" s="116"/>
      <c r="T136" s="116"/>
      <c r="U136" s="116"/>
      <c r="V136" s="116"/>
    </row>
    <row r="137" spans="1:23" ht="15.75" thickBot="1" x14ac:dyDescent="0.3">
      <c r="A137" s="116"/>
      <c r="B137" s="116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</row>
    <row r="138" spans="1:23" x14ac:dyDescent="0.25">
      <c r="A138" s="116"/>
      <c r="B138" s="272"/>
      <c r="C138" s="272"/>
      <c r="D138" s="272"/>
      <c r="E138" s="272"/>
      <c r="F138" s="116"/>
      <c r="G138" s="116"/>
      <c r="H138" s="116"/>
      <c r="I138" s="116"/>
      <c r="J138" s="127" t="s">
        <v>294</v>
      </c>
      <c r="K138" s="151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</row>
    <row r="139" spans="1:23" x14ac:dyDescent="0.25">
      <c r="A139" s="116"/>
      <c r="B139" s="116"/>
      <c r="C139" s="116"/>
      <c r="D139" s="116"/>
      <c r="E139" s="116"/>
      <c r="F139" s="116"/>
      <c r="G139" s="116"/>
      <c r="H139" s="116"/>
      <c r="I139" s="116"/>
      <c r="J139" s="29" t="s">
        <v>297</v>
      </c>
      <c r="K139" s="141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</row>
    <row r="140" spans="1:23" x14ac:dyDescent="0.25">
      <c r="A140" s="116"/>
      <c r="B140" s="116"/>
      <c r="C140" s="116"/>
      <c r="D140" s="116"/>
      <c r="E140" s="116"/>
      <c r="F140" s="116"/>
      <c r="G140" s="116"/>
      <c r="H140" s="116"/>
      <c r="I140" s="116"/>
      <c r="J140" s="29" t="s">
        <v>254</v>
      </c>
      <c r="K140" s="141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</row>
    <row r="141" spans="1:23" ht="15.75" thickBot="1" x14ac:dyDescent="0.3">
      <c r="A141" s="116"/>
      <c r="B141" s="116"/>
      <c r="C141" s="116"/>
      <c r="D141" s="116"/>
      <c r="E141" s="116"/>
      <c r="F141" s="116"/>
      <c r="G141" s="116"/>
      <c r="H141" s="116"/>
      <c r="I141" s="116"/>
      <c r="J141" s="32" t="s">
        <v>213</v>
      </c>
      <c r="K141" s="152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</row>
    <row r="142" spans="1:23" x14ac:dyDescent="0.25">
      <c r="A142" s="116"/>
      <c r="B142" s="116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</row>
    <row r="143" spans="1:23" x14ac:dyDescent="0.25">
      <c r="A143" s="116"/>
      <c r="B143" s="116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</row>
    <row r="144" spans="1:23" x14ac:dyDescent="0.25">
      <c r="A144" s="116"/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</row>
    <row r="145" spans="1:22" x14ac:dyDescent="0.25">
      <c r="A145" s="116"/>
      <c r="B145" s="116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</row>
    <row r="146" spans="1:22" x14ac:dyDescent="0.25">
      <c r="A146" s="116"/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</row>
    <row r="147" spans="1:22" x14ac:dyDescent="0.25">
      <c r="A147" s="116"/>
      <c r="B147" s="116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</row>
    <row r="148" spans="1:22" s="154" customFormat="1" x14ac:dyDescent="0.25">
      <c r="A148" s="136"/>
      <c r="B148" s="136"/>
      <c r="C148" s="136"/>
      <c r="D148" s="136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</row>
    <row r="149" spans="1:22" hidden="1" x14ac:dyDescent="0.25">
      <c r="A149" s="116"/>
      <c r="B149" s="116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</row>
    <row r="150" spans="1:22" hidden="1" x14ac:dyDescent="0.25">
      <c r="A150" s="116"/>
      <c r="B150" s="116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</row>
  </sheetData>
  <mergeCells count="72">
    <mergeCell ref="A136:O136"/>
    <mergeCell ref="B138:E138"/>
    <mergeCell ref="F2:K2"/>
    <mergeCell ref="I94:L94"/>
    <mergeCell ref="I107:L107"/>
    <mergeCell ref="A5:O5"/>
    <mergeCell ref="A29:O29"/>
    <mergeCell ref="A53:O53"/>
    <mergeCell ref="B73:E73"/>
    <mergeCell ref="B94:E94"/>
    <mergeCell ref="B107:E107"/>
    <mergeCell ref="A71:O71"/>
    <mergeCell ref="A92:O92"/>
    <mergeCell ref="B122:E122"/>
    <mergeCell ref="Q58:S58"/>
    <mergeCell ref="Q59:S59"/>
    <mergeCell ref="Q61:S61"/>
    <mergeCell ref="I122:L122"/>
    <mergeCell ref="Q68:S68"/>
    <mergeCell ref="Q62:S62"/>
    <mergeCell ref="Q63:S63"/>
    <mergeCell ref="Q64:S64"/>
    <mergeCell ref="Q65:S65"/>
    <mergeCell ref="Q66:S66"/>
    <mergeCell ref="I73:L73"/>
    <mergeCell ref="A120:O120"/>
    <mergeCell ref="Q48:S48"/>
    <mergeCell ref="Q49:S49"/>
    <mergeCell ref="Q54:S54"/>
    <mergeCell ref="Q55:S55"/>
    <mergeCell ref="Q56:S56"/>
    <mergeCell ref="Q50:S50"/>
    <mergeCell ref="Q51:S51"/>
    <mergeCell ref="Q42:S42"/>
    <mergeCell ref="Q43:S43"/>
    <mergeCell ref="Q44:S44"/>
    <mergeCell ref="Q46:S46"/>
    <mergeCell ref="Q47:S47"/>
    <mergeCell ref="Q45:S45"/>
    <mergeCell ref="Q37:S37"/>
    <mergeCell ref="Q38:S38"/>
    <mergeCell ref="Q39:S39"/>
    <mergeCell ref="Q40:S40"/>
    <mergeCell ref="Q41:S41"/>
    <mergeCell ref="Q33:S33"/>
    <mergeCell ref="Q34:S34"/>
    <mergeCell ref="Q35:S35"/>
    <mergeCell ref="Q36:S36"/>
    <mergeCell ref="Q24:S24"/>
    <mergeCell ref="Q25:S25"/>
    <mergeCell ref="Q30:S30"/>
    <mergeCell ref="Q31:S31"/>
    <mergeCell ref="Q32:S32"/>
    <mergeCell ref="Q26:S26"/>
    <mergeCell ref="Q27:S27"/>
    <mergeCell ref="Q20:S20"/>
    <mergeCell ref="Q21:S21"/>
    <mergeCell ref="Q22:S22"/>
    <mergeCell ref="Q23:S23"/>
    <mergeCell ref="Q15:S15"/>
    <mergeCell ref="Q16:S16"/>
    <mergeCell ref="Q17:S17"/>
    <mergeCell ref="Q18:S18"/>
    <mergeCell ref="Q19:S19"/>
    <mergeCell ref="Q11:S11"/>
    <mergeCell ref="Q13:S13"/>
    <mergeCell ref="Q6:S6"/>
    <mergeCell ref="Q7:S7"/>
    <mergeCell ref="Q8:S8"/>
    <mergeCell ref="Q9:S9"/>
    <mergeCell ref="Q10:S10"/>
    <mergeCell ref="Q12:S12"/>
  </mergeCells>
  <pageMargins left="0.7" right="0.7" top="0.75" bottom="0.75" header="0.3" footer="0.3"/>
  <pageSetup paperSize="9" scale="50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>
                  <from>
                    <xdr:col>6</xdr:col>
                    <xdr:colOff>9525</xdr:colOff>
                    <xdr:row>1</xdr:row>
                    <xdr:rowOff>161925</xdr:rowOff>
                  </from>
                  <to>
                    <xdr:col>6</xdr:col>
                    <xdr:colOff>695325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>
                  <from>
                    <xdr:col>6</xdr:col>
                    <xdr:colOff>38100</xdr:colOff>
                    <xdr:row>25</xdr:row>
                    <xdr:rowOff>352425</xdr:rowOff>
                  </from>
                  <to>
                    <xdr:col>6</xdr:col>
                    <xdr:colOff>723900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>
                  <from>
                    <xdr:col>6</xdr:col>
                    <xdr:colOff>19050</xdr:colOff>
                    <xdr:row>49</xdr:row>
                    <xdr:rowOff>323850</xdr:rowOff>
                  </from>
                  <to>
                    <xdr:col>6</xdr:col>
                    <xdr:colOff>704850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defaultSize="0" autoFill="0" autoLine="0" autoPict="0">
                <anchor>
                  <from>
                    <xdr:col>0</xdr:col>
                    <xdr:colOff>171450</xdr:colOff>
                    <xdr:row>69</xdr:row>
                    <xdr:rowOff>161925</xdr:rowOff>
                  </from>
                  <to>
                    <xdr:col>1</xdr:col>
                    <xdr:colOff>390525</xdr:colOff>
                    <xdr:row>73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defaultSize="0" autoFill="0" autoLine="0" autoPict="0">
                <anchor>
                  <from>
                    <xdr:col>8</xdr:col>
                    <xdr:colOff>180975</xdr:colOff>
                    <xdr:row>69</xdr:row>
                    <xdr:rowOff>171450</xdr:rowOff>
                  </from>
                  <to>
                    <xdr:col>9</xdr:col>
                    <xdr:colOff>238125</xdr:colOff>
                    <xdr:row>73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defaultSize="0" autoFill="0" autoLine="0" autoPict="0">
                <anchor>
                  <from>
                    <xdr:col>0</xdr:col>
                    <xdr:colOff>180975</xdr:colOff>
                    <xdr:row>90</xdr:row>
                    <xdr:rowOff>104775</xdr:rowOff>
                  </from>
                  <to>
                    <xdr:col>1</xdr:col>
                    <xdr:colOff>400050</xdr:colOff>
                    <xdr:row>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defaultSize="0" autoFill="0" autoLine="0" autoPict="0">
                <anchor>
                  <from>
                    <xdr:col>8</xdr:col>
                    <xdr:colOff>190500</xdr:colOff>
                    <xdr:row>90</xdr:row>
                    <xdr:rowOff>133350</xdr:rowOff>
                  </from>
                  <to>
                    <xdr:col>9</xdr:col>
                    <xdr:colOff>276225</xdr:colOff>
                    <xdr:row>94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1" name="Check Box 11">
              <controlPr defaultSize="0" autoFill="0" autoLine="0" autoPict="0">
                <anchor>
                  <from>
                    <xdr:col>0</xdr:col>
                    <xdr:colOff>180975</xdr:colOff>
                    <xdr:row>103</xdr:row>
                    <xdr:rowOff>104775</xdr:rowOff>
                  </from>
                  <to>
                    <xdr:col>1</xdr:col>
                    <xdr:colOff>409575</xdr:colOff>
                    <xdr:row>107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Check Box 12">
              <controlPr defaultSize="0" autoFill="0" autoLine="0" autoPict="0">
                <anchor>
                  <from>
                    <xdr:col>8</xdr:col>
                    <xdr:colOff>190500</xdr:colOff>
                    <xdr:row>103</xdr:row>
                    <xdr:rowOff>133350</xdr:rowOff>
                  </from>
                  <to>
                    <xdr:col>9</xdr:col>
                    <xdr:colOff>276225</xdr:colOff>
                    <xdr:row>107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Check Box 13">
              <controlPr defaultSize="0" autoFill="0" autoLine="0" autoPict="0">
                <anchor>
                  <from>
                    <xdr:col>0</xdr:col>
                    <xdr:colOff>180975</xdr:colOff>
                    <xdr:row>118</xdr:row>
                    <xdr:rowOff>133350</xdr:rowOff>
                  </from>
                  <to>
                    <xdr:col>1</xdr:col>
                    <xdr:colOff>400050</xdr:colOff>
                    <xdr:row>122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4" name="Check Box 14">
              <controlPr defaultSize="0" autoFill="0" autoLine="0" autoPict="0">
                <anchor>
                  <from>
                    <xdr:col>8</xdr:col>
                    <xdr:colOff>209550</xdr:colOff>
                    <xdr:row>118</xdr:row>
                    <xdr:rowOff>123825</xdr:rowOff>
                  </from>
                  <to>
                    <xdr:col>9</xdr:col>
                    <xdr:colOff>285750</xdr:colOff>
                    <xdr:row>122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2:V191"/>
  <sheetViews>
    <sheetView topLeftCell="A8" zoomScale="85" zoomScaleNormal="85" workbookViewId="0">
      <selection activeCell="E33" sqref="E33:F33"/>
    </sheetView>
  </sheetViews>
  <sheetFormatPr defaultColWidth="0.85546875" defaultRowHeight="14.25" zeroHeight="1" x14ac:dyDescent="0.2"/>
  <cols>
    <col min="1" max="1" width="2" style="2" customWidth="1"/>
    <col min="2" max="2" width="27.7109375" style="3" customWidth="1"/>
    <col min="3" max="3" width="36" style="3" customWidth="1"/>
    <col min="4" max="4" width="26.28515625" style="3" customWidth="1"/>
    <col min="5" max="5" width="25.85546875" style="3" customWidth="1"/>
    <col min="6" max="6" width="62.5703125" style="3" customWidth="1"/>
    <col min="7" max="7" width="17.42578125" style="2" customWidth="1"/>
    <col min="8" max="8" width="17.7109375" style="2" customWidth="1"/>
    <col min="9" max="9" width="20.7109375" style="2" customWidth="1"/>
    <col min="10" max="11" width="20.7109375" style="3" customWidth="1"/>
    <col min="12" max="12" width="45.42578125" style="3" customWidth="1"/>
    <col min="13" max="13" width="20.7109375" style="3" customWidth="1"/>
    <col min="14" max="14" width="26.5703125" style="3" customWidth="1"/>
    <col min="15" max="15" width="20.7109375" style="3" customWidth="1"/>
    <col min="16" max="16" width="27.140625" style="3" customWidth="1"/>
    <col min="17" max="17" width="31.42578125" style="3" customWidth="1"/>
    <col min="18" max="23" width="20.7109375" style="3" customWidth="1"/>
    <col min="24" max="16384" width="0.85546875" style="3"/>
  </cols>
  <sheetData>
    <row r="2" spans="2:21" ht="15.75" thickBot="1" x14ac:dyDescent="0.3">
      <c r="B2" s="4" t="s">
        <v>78</v>
      </c>
      <c r="C2" s="3" t="str">
        <f>Questionnaire!C1</f>
        <v>илоскреб с периферийным приводом с вращающимся мостом</v>
      </c>
      <c r="J2" s="3" t="s">
        <v>0</v>
      </c>
    </row>
    <row r="3" spans="2:21" ht="15" thickBot="1" x14ac:dyDescent="0.25">
      <c r="B3" s="385" t="s">
        <v>53</v>
      </c>
      <c r="C3" s="386"/>
      <c r="D3" s="386"/>
      <c r="E3" s="386"/>
      <c r="F3" s="387"/>
      <c r="H3" s="2" t="s">
        <v>75</v>
      </c>
      <c r="J3" s="7" t="s">
        <v>83</v>
      </c>
      <c r="K3" s="3" t="s">
        <v>4</v>
      </c>
      <c r="L3" s="3" t="s">
        <v>155</v>
      </c>
      <c r="M3" s="47">
        <v>16</v>
      </c>
      <c r="N3" s="3" t="s">
        <v>121</v>
      </c>
      <c r="O3" s="3" t="str">
        <f>IF(D32="Yes","On the trolley","-")</f>
        <v>-</v>
      </c>
      <c r="P3" s="3" t="str">
        <f>IF(B55="Type","Skimmer with a scum box","-")</f>
        <v>-</v>
      </c>
      <c r="Q3" s="3" t="str">
        <f ca="1">IF(B71="Effluent launder type","Concrete, unilateral","-")</f>
        <v>-</v>
      </c>
      <c r="R3" s="3" t="s">
        <v>111</v>
      </c>
      <c r="S3" s="3" t="str">
        <f>IF(B49="Central inlet well","AISI 304","-")</f>
        <v>-</v>
      </c>
      <c r="T3" s="3" t="s">
        <v>4</v>
      </c>
      <c r="U3" s="3" t="s">
        <v>233</v>
      </c>
    </row>
    <row r="4" spans="2:21" ht="15" thickBot="1" x14ac:dyDescent="0.25">
      <c r="B4" s="27" t="s">
        <v>50</v>
      </c>
      <c r="C4" s="28"/>
      <c r="D4" s="29" t="s">
        <v>54</v>
      </c>
      <c r="E4" s="388"/>
      <c r="F4" s="389"/>
      <c r="G4" s="3"/>
      <c r="H4" s="5" t="s">
        <v>47</v>
      </c>
      <c r="J4" s="8" t="s">
        <v>84</v>
      </c>
      <c r="K4" s="3" t="s">
        <v>5</v>
      </c>
      <c r="L4" s="3" t="s">
        <v>156</v>
      </c>
      <c r="M4" s="47">
        <v>18</v>
      </c>
      <c r="N4" s="3" t="s">
        <v>122</v>
      </c>
      <c r="O4" s="3" t="str">
        <f>IF(D32="Yes","Near the clarifier","-")</f>
        <v>-</v>
      </c>
      <c r="P4" s="3" t="str">
        <f>IF(B55="Type","Rotating pipe with a pump","-")</f>
        <v>-</v>
      </c>
      <c r="Q4" s="3" t="str">
        <f ca="1">IF(B71="Effluent launder type","Concrete, bilateral","-")</f>
        <v>-</v>
      </c>
      <c r="R4" s="3" t="s">
        <v>154</v>
      </c>
      <c r="S4" s="3" t="str">
        <f>IF(B49="Central inlet well","AISI 304L","-")</f>
        <v>-</v>
      </c>
      <c r="T4" s="3" t="s">
        <v>5</v>
      </c>
      <c r="U4" s="3" t="s">
        <v>234</v>
      </c>
    </row>
    <row r="5" spans="2:21" x14ac:dyDescent="0.2">
      <c r="B5" s="27" t="s">
        <v>55</v>
      </c>
      <c r="C5" s="28"/>
      <c r="D5" s="29" t="s">
        <v>56</v>
      </c>
      <c r="E5" s="388"/>
      <c r="F5" s="389"/>
      <c r="G5" s="3"/>
      <c r="H5" s="6" t="s">
        <v>48</v>
      </c>
      <c r="K5" s="3" t="s">
        <v>6</v>
      </c>
      <c r="L5" s="3" t="s">
        <v>157</v>
      </c>
      <c r="M5" s="47">
        <v>20</v>
      </c>
      <c r="O5" s="3" t="str">
        <f>IF(D32="Yes","In the building","-")</f>
        <v>-</v>
      </c>
      <c r="P5" s="3" t="str">
        <f>IF(B55="Type","Screw with a pump","-")</f>
        <v>-</v>
      </c>
      <c r="Q5" s="3" t="str">
        <f ca="1">IF(B71="Effluent launder type","Steel, unilateral","-")</f>
        <v>-</v>
      </c>
      <c r="S5" s="3" t="str">
        <f>IF(B49="Central inlet well","AISI 316","-")</f>
        <v>-</v>
      </c>
      <c r="T5" s="3" t="s">
        <v>6</v>
      </c>
      <c r="U5" s="3" t="s">
        <v>235</v>
      </c>
    </row>
    <row r="6" spans="2:21" x14ac:dyDescent="0.2">
      <c r="B6" s="27" t="s">
        <v>51</v>
      </c>
      <c r="C6" s="28"/>
      <c r="D6" s="29" t="s">
        <v>57</v>
      </c>
      <c r="E6" s="388"/>
      <c r="F6" s="389"/>
      <c r="G6" s="3"/>
      <c r="K6" s="3" t="s">
        <v>7</v>
      </c>
      <c r="M6" s="47">
        <v>24</v>
      </c>
      <c r="N6" s="3" t="s">
        <v>92</v>
      </c>
      <c r="Q6" s="3" t="str">
        <f ca="1">IF(B71="Effluent launder type","Steel, bilateral","-")</f>
        <v>-</v>
      </c>
      <c r="S6" s="3" t="str">
        <f>IF(B49="Central inlet well","AISI 316L","-")</f>
        <v>-</v>
      </c>
      <c r="T6" s="3" t="s">
        <v>7</v>
      </c>
      <c r="U6" s="3" t="s">
        <v>236</v>
      </c>
    </row>
    <row r="7" spans="2:21" ht="15" thickBot="1" x14ac:dyDescent="0.25">
      <c r="B7" s="30" t="s">
        <v>52</v>
      </c>
      <c r="C7" s="31"/>
      <c r="D7" s="32" t="s">
        <v>58</v>
      </c>
      <c r="E7" s="390"/>
      <c r="F7" s="391"/>
      <c r="G7" s="3"/>
      <c r="K7" s="3" t="s">
        <v>193</v>
      </c>
      <c r="L7" s="3" t="s">
        <v>40</v>
      </c>
      <c r="M7" s="47">
        <v>28</v>
      </c>
      <c r="N7" s="3" t="s">
        <v>93</v>
      </c>
      <c r="S7" s="3" t="str">
        <f>IF(B49="Central inlet well","PVC","-")</f>
        <v>-</v>
      </c>
      <c r="T7" s="3" t="s">
        <v>241</v>
      </c>
    </row>
    <row r="8" spans="2:21" ht="15" thickBot="1" x14ac:dyDescent="0.25">
      <c r="B8" s="382" t="s">
        <v>49</v>
      </c>
      <c r="C8" s="383"/>
      <c r="D8" s="383"/>
      <c r="E8" s="383"/>
      <c r="F8" s="384"/>
      <c r="H8" s="3"/>
      <c r="K8" s="3" t="s">
        <v>111</v>
      </c>
      <c r="L8" s="3" t="s">
        <v>41</v>
      </c>
      <c r="M8" s="47">
        <v>30</v>
      </c>
      <c r="N8" s="3" t="s">
        <v>135</v>
      </c>
      <c r="R8" s="3" t="str">
        <f ca="1">IF(OR(C71=Q5,C71=Q6),"AISI 304","-")</f>
        <v>-</v>
      </c>
      <c r="S8" s="3" t="str">
        <f>IF(B49="Central inlet well","Other (indicate)","-")</f>
        <v>-</v>
      </c>
      <c r="T8" s="3" t="s">
        <v>133</v>
      </c>
    </row>
    <row r="9" spans="2:21" ht="15" customHeight="1" thickBot="1" x14ac:dyDescent="0.3">
      <c r="B9" s="371" t="s">
        <v>91</v>
      </c>
      <c r="C9" s="372"/>
      <c r="D9" s="85">
        <f>Questionnaire!D8</f>
        <v>0</v>
      </c>
      <c r="E9" s="100" t="s">
        <v>153</v>
      </c>
      <c r="F9" s="101">
        <f>Questionnaire!$F$8</f>
        <v>0</v>
      </c>
      <c r="H9" s="3"/>
      <c r="K9" s="3" t="s">
        <v>133</v>
      </c>
      <c r="L9" s="2"/>
      <c r="M9" s="48">
        <v>33</v>
      </c>
      <c r="N9" s="3" t="s">
        <v>4</v>
      </c>
      <c r="O9" s="2"/>
      <c r="Q9" s="3" t="s">
        <v>202</v>
      </c>
      <c r="R9" s="3" t="str">
        <f ca="1">IF(OR(C71=Q5,C71=Q6),"AISI 304L","-")</f>
        <v>-</v>
      </c>
      <c r="T9" s="3" t="s">
        <v>193</v>
      </c>
    </row>
    <row r="10" spans="2:21" ht="15" customHeight="1" thickBot="1" x14ac:dyDescent="0.3">
      <c r="B10" s="373" t="s">
        <v>115</v>
      </c>
      <c r="C10" s="374"/>
      <c r="D10" s="41">
        <f>Questionnaire!D9</f>
        <v>0</v>
      </c>
      <c r="E10" s="39"/>
      <c r="F10" s="40"/>
      <c r="H10" s="3"/>
      <c r="J10" s="4"/>
      <c r="K10" s="2" t="s">
        <v>43</v>
      </c>
      <c r="L10" s="2"/>
      <c r="M10" s="48">
        <v>40</v>
      </c>
      <c r="N10" s="3" t="s">
        <v>5</v>
      </c>
      <c r="O10" s="2" t="s">
        <v>127</v>
      </c>
      <c r="P10" s="3" t="s">
        <v>127</v>
      </c>
      <c r="Q10" s="3" t="s">
        <v>210</v>
      </c>
      <c r="R10" s="3" t="str">
        <f ca="1">IF(OR(C71=Q5,C71=Q6),"AISI 316","-")</f>
        <v>-</v>
      </c>
      <c r="T10" s="2" t="s">
        <v>43</v>
      </c>
    </row>
    <row r="11" spans="2:21" ht="25.5" customHeight="1" x14ac:dyDescent="0.2">
      <c r="B11" s="378" t="s">
        <v>36</v>
      </c>
      <c r="C11" s="379"/>
      <c r="D11" s="376">
        <f>Questionnaire!D10</f>
        <v>0</v>
      </c>
      <c r="E11" s="36" t="str">
        <f>IF(D11="Municipal","-","Type of industry")</f>
        <v>Type of industry</v>
      </c>
      <c r="F11" s="37"/>
      <c r="H11" s="3"/>
      <c r="J11" s="49" t="s">
        <v>40</v>
      </c>
      <c r="K11" s="3" t="s">
        <v>38</v>
      </c>
      <c r="L11" s="2" t="s">
        <v>120</v>
      </c>
      <c r="M11" s="48">
        <v>50</v>
      </c>
      <c r="N11" s="3" t="s">
        <v>6</v>
      </c>
      <c r="O11" s="3" t="s">
        <v>128</v>
      </c>
      <c r="P11" s="3" t="s">
        <v>128</v>
      </c>
      <c r="Q11" s="3" t="s">
        <v>209</v>
      </c>
      <c r="R11" s="3" t="str">
        <f ca="1">IF(OR(C71=Q5,C71=Q6),"AISI 316L","-")</f>
        <v>-</v>
      </c>
      <c r="S11" s="3" t="str">
        <f>IF(B44="Inlet pipe","AISI 304","-")</f>
        <v>-</v>
      </c>
    </row>
    <row r="12" spans="2:21" ht="39" customHeight="1" thickBot="1" x14ac:dyDescent="0.25">
      <c r="B12" s="316"/>
      <c r="C12" s="317"/>
      <c r="D12" s="377"/>
      <c r="E12" s="44" t="str">
        <f>IF(D11="Municipal","-","Specify wastewater sourсes")</f>
        <v>Specify wastewater sourсes</v>
      </c>
      <c r="F12" s="24"/>
      <c r="H12" s="3"/>
      <c r="J12" s="34" t="s">
        <v>41</v>
      </c>
      <c r="K12" s="2" t="s">
        <v>39</v>
      </c>
      <c r="L12" s="2" t="s">
        <v>88</v>
      </c>
      <c r="M12" s="48">
        <v>54</v>
      </c>
      <c r="N12" s="3" t="s">
        <v>7</v>
      </c>
      <c r="O12" s="2"/>
      <c r="P12" s="3" t="s">
        <v>114</v>
      </c>
      <c r="Q12" s="3" t="s">
        <v>203</v>
      </c>
      <c r="R12" s="3" t="str">
        <f ca="1">IF(OR(C71=Q5,C71=Q6),"Other (indicate)","-")</f>
        <v>-</v>
      </c>
      <c r="S12" s="3" t="str">
        <f>IF(B44="Inlet pipe","AISI 304L","-")</f>
        <v>-</v>
      </c>
    </row>
    <row r="13" spans="2:21" ht="19.5" customHeight="1" x14ac:dyDescent="0.25">
      <c r="B13" s="380" t="s">
        <v>97</v>
      </c>
      <c r="C13" s="23" t="s">
        <v>46</v>
      </c>
      <c r="D13" s="360"/>
      <c r="E13" s="361"/>
      <c r="F13" s="362"/>
      <c r="H13" s="3"/>
      <c r="J13" s="4"/>
      <c r="K13" s="2"/>
      <c r="L13" s="2" t="s">
        <v>207</v>
      </c>
      <c r="M13" s="48" t="s">
        <v>43</v>
      </c>
      <c r="N13" s="3" t="s">
        <v>133</v>
      </c>
      <c r="O13" s="2" t="str">
        <f>IF(D32="Yes","On the bridge","-")</f>
        <v>-</v>
      </c>
      <c r="Q13" s="3" t="str">
        <f>IF(C2="radial sludge scrapers with central driven,fixed bridge","-","Top")</f>
        <v>Top</v>
      </c>
      <c r="S13" s="3" t="str">
        <f>IF(B44="Inlet pipe","AISI 316","-")</f>
        <v>-</v>
      </c>
    </row>
    <row r="14" spans="2:21" ht="15" customHeight="1" x14ac:dyDescent="0.25">
      <c r="B14" s="381"/>
      <c r="C14" s="20" t="s">
        <v>98</v>
      </c>
      <c r="D14" s="369"/>
      <c r="E14" s="370"/>
      <c r="F14" s="367"/>
      <c r="H14" s="3"/>
      <c r="J14" s="4"/>
      <c r="K14" s="2"/>
      <c r="N14" s="2" t="s">
        <v>43</v>
      </c>
      <c r="O14" s="3" t="str">
        <f>IF(D32="Yes","Near the clarifier","-")</f>
        <v>-</v>
      </c>
      <c r="Q14" s="3" t="str">
        <f>IF(C2="radial sludge scrapers with central driven,fixed bridge","-","Bottom")</f>
        <v>Bottom</v>
      </c>
      <c r="S14" s="3" t="str">
        <f>IF(B44="Inlet pipe","AISI 316L","-")</f>
        <v>-</v>
      </c>
    </row>
    <row r="15" spans="2:21" ht="15" customHeight="1" x14ac:dyDescent="0.25">
      <c r="B15" s="381"/>
      <c r="C15" s="20"/>
      <c r="D15" s="369"/>
      <c r="E15" s="370"/>
      <c r="F15" s="367"/>
      <c r="H15" s="3"/>
      <c r="J15" s="34"/>
      <c r="K15" s="3" t="str">
        <f>IF(B65="V-notch weir","Concrete","-")</f>
        <v>-</v>
      </c>
      <c r="O15" s="3" t="str">
        <f>IF(D32="Yes","In the building","-")</f>
        <v>-</v>
      </c>
      <c r="S15" s="3" t="str">
        <f>IF(B44="Inlet pipe","Other (indicate)","-")</f>
        <v>-</v>
      </c>
    </row>
    <row r="16" spans="2:21" ht="15" customHeight="1" x14ac:dyDescent="0.25">
      <c r="B16" s="381"/>
      <c r="C16" s="65"/>
      <c r="D16" s="369"/>
      <c r="E16" s="370"/>
      <c r="F16" s="367"/>
      <c r="H16" s="3"/>
      <c r="J16" s="34"/>
      <c r="K16" s="3" t="str">
        <f>IF(B65="V-notch weir","Metal","-")</f>
        <v>-</v>
      </c>
      <c r="L16" s="2"/>
      <c r="N16" s="4"/>
      <c r="O16" s="2"/>
    </row>
    <row r="17" spans="2:18" ht="15" customHeight="1" thickBot="1" x14ac:dyDescent="0.3">
      <c r="B17" s="375" t="s">
        <v>101</v>
      </c>
      <c r="C17" s="367"/>
      <c r="D17" s="363">
        <f>Questionnaire!D16:F16</f>
        <v>0</v>
      </c>
      <c r="E17" s="364"/>
      <c r="F17" s="365"/>
      <c r="H17" s="3"/>
      <c r="J17" s="34"/>
      <c r="K17" s="2"/>
      <c r="L17" s="2"/>
      <c r="M17" s="2"/>
      <c r="N17" s="4"/>
      <c r="O17" s="2"/>
    </row>
    <row r="18" spans="2:18" ht="15" customHeight="1" x14ac:dyDescent="0.25">
      <c r="B18" s="358" t="s">
        <v>108</v>
      </c>
      <c r="C18" s="359"/>
      <c r="D18" s="51">
        <f>Questionnaire!D17</f>
        <v>0</v>
      </c>
      <c r="E18" s="366" t="str">
        <f>IF(D18="yes","Note: Please attach the drawings","")</f>
        <v/>
      </c>
      <c r="F18" s="367"/>
      <c r="J18" s="2"/>
      <c r="K18" s="72"/>
      <c r="L18" s="72"/>
      <c r="M18" s="2"/>
      <c r="N18" s="2"/>
      <c r="O18" s="2"/>
      <c r="Q18" s="10"/>
      <c r="R18" s="10"/>
    </row>
    <row r="19" spans="2:18" ht="15" customHeight="1" x14ac:dyDescent="0.25">
      <c r="B19" s="350" t="s">
        <v>138</v>
      </c>
      <c r="C19" s="368"/>
      <c r="D19" s="73">
        <f>Questionnaire!D18:F18</f>
        <v>0</v>
      </c>
      <c r="E19" s="102" t="s">
        <v>194</v>
      </c>
      <c r="F19" s="78"/>
      <c r="J19" s="2"/>
      <c r="K19" s="72"/>
      <c r="L19" s="72"/>
      <c r="M19" s="2" t="s">
        <v>195</v>
      </c>
      <c r="N19" s="2"/>
      <c r="O19" s="2"/>
      <c r="Q19" s="13"/>
      <c r="R19" s="13"/>
    </row>
    <row r="20" spans="2:18" ht="15" customHeight="1" x14ac:dyDescent="0.25">
      <c r="B20" s="122" t="s">
        <v>200</v>
      </c>
      <c r="C20" s="123"/>
      <c r="D20" s="73"/>
      <c r="E20" s="124" t="s">
        <v>161</v>
      </c>
      <c r="F20" s="78"/>
      <c r="J20" s="3" t="str">
        <f>IF(B65="V-notch weir","AISI 304","-")</f>
        <v>-</v>
      </c>
      <c r="K20" s="3" t="str">
        <f>IF(B58="Scum baffle","AISI 304","-")</f>
        <v>-</v>
      </c>
      <c r="L20" s="3" t="str">
        <f>IF(B54="Scum removal system","AISI 304","-")</f>
        <v>-</v>
      </c>
      <c r="M20" s="2" t="s">
        <v>196</v>
      </c>
      <c r="N20" s="2"/>
      <c r="O20" s="2"/>
      <c r="Q20" s="13"/>
      <c r="R20" s="13"/>
    </row>
    <row r="21" spans="2:18" ht="15" customHeight="1" x14ac:dyDescent="0.25">
      <c r="B21" s="350" t="s">
        <v>131</v>
      </c>
      <c r="C21" s="351"/>
      <c r="D21" s="51">
        <f>Questionnaire!D20</f>
        <v>0</v>
      </c>
      <c r="E21" s="348"/>
      <c r="F21" s="349"/>
      <c r="J21" s="3" t="str">
        <f>IF(B65="V-notch weir","AISI 304L","-")</f>
        <v>-</v>
      </c>
      <c r="K21" s="3" t="str">
        <f>IF(B58="Scum baffle","AISI 304L","-")</f>
        <v>-</v>
      </c>
      <c r="L21" s="3" t="str">
        <f>IF(B54="Scum removal system","AISI 304L","-")</f>
        <v>-</v>
      </c>
      <c r="M21" s="2" t="s">
        <v>201</v>
      </c>
      <c r="N21" s="2"/>
      <c r="O21" s="2"/>
      <c r="Q21" s="13"/>
      <c r="R21" s="13"/>
    </row>
    <row r="22" spans="2:18" ht="15" customHeight="1" x14ac:dyDescent="0.2">
      <c r="B22" s="352" t="s">
        <v>145</v>
      </c>
      <c r="C22" s="49" t="s">
        <v>109</v>
      </c>
      <c r="D22" s="334">
        <f>Questionnaire!D21:F21</f>
        <v>0</v>
      </c>
      <c r="E22" s="346"/>
      <c r="F22" s="347"/>
      <c r="J22" s="3" t="str">
        <f>IF(B65="V-notch weir","AISI 316","-")</f>
        <v>-</v>
      </c>
      <c r="K22" s="3" t="str">
        <f>IF(B58="Scum baffle","AISI 316","-")</f>
        <v>-</v>
      </c>
      <c r="L22" s="3" t="str">
        <f>IF(B54="Scum removal system","AISI 316L","-")</f>
        <v>-</v>
      </c>
      <c r="M22" s="2" t="s">
        <v>243</v>
      </c>
      <c r="N22" s="2"/>
      <c r="O22" s="2"/>
      <c r="Q22" s="13"/>
      <c r="R22" s="13"/>
    </row>
    <row r="23" spans="2:18" ht="15" customHeight="1" x14ac:dyDescent="0.25">
      <c r="B23" s="353"/>
      <c r="C23" s="50" t="s">
        <v>112</v>
      </c>
      <c r="D23" s="334">
        <f>Questionnaire!D22:F22</f>
        <v>0</v>
      </c>
      <c r="E23" s="335"/>
      <c r="F23" s="336"/>
      <c r="J23" s="3" t="str">
        <f>IF(B65="V-notch weir","AISI 316L","-")</f>
        <v>-</v>
      </c>
      <c r="K23" s="3" t="str">
        <f>IF(B58="Scum baffle","AISI 316L","-")</f>
        <v>-</v>
      </c>
      <c r="L23" s="3" t="str">
        <f>IF(B54="Scum removal system","AISI 316","-")</f>
        <v>-</v>
      </c>
      <c r="M23" s="2"/>
      <c r="N23" s="2"/>
      <c r="O23" s="2"/>
      <c r="Q23" s="13"/>
      <c r="R23" s="13"/>
    </row>
    <row r="24" spans="2:18" ht="15" customHeight="1" x14ac:dyDescent="0.25">
      <c r="B24" s="353"/>
      <c r="C24" s="50" t="s">
        <v>147</v>
      </c>
      <c r="D24" s="334">
        <f>Questionnaire!D23:F23</f>
        <v>0</v>
      </c>
      <c r="E24" s="335"/>
      <c r="F24" s="336"/>
      <c r="J24" s="3" t="str">
        <f>IF(B65="V-notch weir","PVC","-")</f>
        <v>-</v>
      </c>
      <c r="K24" s="3" t="str">
        <f>IF(B58="Scum baffle","PVC","-")</f>
        <v>-</v>
      </c>
      <c r="L24" s="3" t="str">
        <f>IF(B54="Scum removal system","Other (indicate)","-")</f>
        <v>-</v>
      </c>
      <c r="M24" s="2"/>
      <c r="N24" s="2"/>
      <c r="O24" s="2"/>
      <c r="Q24" s="13"/>
      <c r="R24" s="13"/>
    </row>
    <row r="25" spans="2:18" ht="15" customHeight="1" x14ac:dyDescent="0.25">
      <c r="B25" s="353"/>
      <c r="C25" s="54" t="s">
        <v>119</v>
      </c>
      <c r="D25" s="334">
        <f>Questionnaire!D24:F24</f>
        <v>0</v>
      </c>
      <c r="E25" s="335"/>
      <c r="F25" s="336"/>
      <c r="J25" s="3" t="str">
        <f>IF(B65="V-notch weir","Other (indicate)","-")</f>
        <v>-</v>
      </c>
      <c r="K25" s="72" t="str">
        <f>IF(B58="Scum baffle","Other (indicate)","-")</f>
        <v>-</v>
      </c>
      <c r="L25" s="72"/>
      <c r="M25" s="2"/>
      <c r="N25" s="2"/>
      <c r="O25" s="2"/>
      <c r="Q25" s="13"/>
      <c r="R25" s="13"/>
    </row>
    <row r="26" spans="2:18" ht="15" customHeight="1" thickBot="1" x14ac:dyDescent="0.25">
      <c r="B26" s="353"/>
      <c r="C26" s="54" t="s">
        <v>117</v>
      </c>
      <c r="D26" s="334">
        <f>Questionnaire!D25</f>
        <v>0</v>
      </c>
      <c r="E26" s="346"/>
      <c r="F26" s="347"/>
      <c r="J26" s="2"/>
      <c r="K26" s="72"/>
      <c r="L26" s="72"/>
      <c r="M26" s="2"/>
      <c r="N26" s="88"/>
      <c r="O26" s="88"/>
      <c r="Q26" s="13"/>
      <c r="R26" s="13"/>
    </row>
    <row r="27" spans="2:18" ht="15" customHeight="1" thickBot="1" x14ac:dyDescent="0.25">
      <c r="B27" s="353"/>
      <c r="C27" s="54" t="s">
        <v>152</v>
      </c>
      <c r="D27" s="334">
        <f>Questionnaire!D26</f>
        <v>0</v>
      </c>
      <c r="E27" s="346"/>
      <c r="F27" s="347"/>
      <c r="J27" s="2"/>
      <c r="K27" s="72"/>
      <c r="L27" s="72"/>
      <c r="M27" s="2"/>
      <c r="N27" s="7"/>
      <c r="O27" s="7"/>
      <c r="Q27" s="13"/>
      <c r="R27" s="13"/>
    </row>
    <row r="28" spans="2:18" ht="15" customHeight="1" thickBot="1" x14ac:dyDescent="0.25">
      <c r="B28" s="353"/>
      <c r="C28" s="50" t="s">
        <v>102</v>
      </c>
      <c r="D28" s="334">
        <f>Questionnaire!D27</f>
        <v>0</v>
      </c>
      <c r="E28" s="346"/>
      <c r="F28" s="347"/>
      <c r="J28" s="2"/>
      <c r="K28" s="72"/>
      <c r="L28" s="72"/>
      <c r="M28" s="2"/>
      <c r="N28" s="7"/>
      <c r="O28" s="7"/>
      <c r="Q28" s="13"/>
      <c r="R28" s="13"/>
    </row>
    <row r="29" spans="2:18" ht="15" customHeight="1" thickBot="1" x14ac:dyDescent="0.25">
      <c r="B29" s="353"/>
      <c r="C29" s="54" t="s">
        <v>118</v>
      </c>
      <c r="D29" s="129">
        <f>Questionnaire!D29</f>
        <v>0</v>
      </c>
      <c r="E29" s="130"/>
      <c r="F29" s="131"/>
      <c r="J29" s="2"/>
      <c r="K29" s="72"/>
      <c r="L29" s="72"/>
      <c r="M29" s="2"/>
      <c r="N29" s="7"/>
      <c r="O29" s="7"/>
      <c r="Q29" s="13"/>
      <c r="R29" s="13"/>
    </row>
    <row r="30" spans="2:18" ht="15" customHeight="1" thickBot="1" x14ac:dyDescent="0.25">
      <c r="B30" s="354"/>
      <c r="C30" s="55" t="s">
        <v>214</v>
      </c>
      <c r="D30" s="355">
        <f>Questionnaire!D30</f>
        <v>0</v>
      </c>
      <c r="E30" s="356"/>
      <c r="F30" s="357"/>
      <c r="J30" s="2"/>
      <c r="K30" s="72"/>
      <c r="L30" s="72"/>
      <c r="M30" s="2"/>
      <c r="N30" s="7"/>
      <c r="O30" s="7"/>
      <c r="Q30" s="10"/>
      <c r="R30" s="10"/>
    </row>
    <row r="31" spans="2:18" ht="15" customHeight="1" thickBot="1" x14ac:dyDescent="0.25">
      <c r="B31" s="331" t="s">
        <v>45</v>
      </c>
      <c r="C31" s="332"/>
      <c r="D31" s="332"/>
      <c r="E31" s="332"/>
      <c r="F31" s="333"/>
      <c r="J31" s="2"/>
      <c r="K31" s="2"/>
      <c r="L31" s="2"/>
      <c r="M31" s="2"/>
      <c r="N31" s="7"/>
      <c r="O31" s="7"/>
      <c r="Q31" s="11"/>
      <c r="R31" s="11"/>
    </row>
    <row r="32" spans="2:18" ht="15" customHeight="1" thickBot="1" x14ac:dyDescent="0.3">
      <c r="B32" s="337" t="s">
        <v>37</v>
      </c>
      <c r="C32" s="338"/>
      <c r="D32" s="341">
        <f>Questionnaire!D31</f>
        <v>0</v>
      </c>
      <c r="E32" s="342"/>
      <c r="F32" s="343"/>
      <c r="J32" s="2"/>
      <c r="K32" s="2"/>
      <c r="L32" s="2"/>
      <c r="M32" s="2"/>
      <c r="N32" s="7"/>
      <c r="O32" s="7"/>
      <c r="Q32" s="12"/>
      <c r="R32" s="12"/>
    </row>
    <row r="33" spans="2:22" ht="15" customHeight="1" thickBot="1" x14ac:dyDescent="0.3">
      <c r="B33" s="339" t="s">
        <v>162</v>
      </c>
      <c r="C33" s="340"/>
      <c r="D33" s="164">
        <f>Questionnaire!D32:F32</f>
        <v>0</v>
      </c>
      <c r="E33" s="344" t="str">
        <f>IF(D33=O3,"Note: Only in case when the distance between the top of the clarifier and the ground is less than 0.7 m"," ")</f>
        <v xml:space="preserve"> </v>
      </c>
      <c r="F33" s="345"/>
      <c r="J33" s="2"/>
      <c r="K33" s="2"/>
      <c r="L33" s="2"/>
      <c r="M33" s="2"/>
      <c r="N33" s="7"/>
      <c r="O33" s="7"/>
      <c r="Q33" s="12"/>
      <c r="R33" s="12"/>
    </row>
    <row r="34" spans="2:22" ht="15" customHeight="1" thickBot="1" x14ac:dyDescent="0.25">
      <c r="B34" s="324" t="s">
        <v>146</v>
      </c>
      <c r="C34" s="79" t="s">
        <v>79</v>
      </c>
      <c r="D34" s="311"/>
      <c r="E34" s="312"/>
      <c r="F34" s="313"/>
      <c r="J34" s="2"/>
      <c r="K34" s="2"/>
      <c r="L34" s="2"/>
      <c r="M34" s="2"/>
      <c r="N34" s="7"/>
      <c r="O34" s="7"/>
      <c r="Q34" s="9"/>
      <c r="R34" s="9"/>
    </row>
    <row r="35" spans="2:22" ht="15" customHeight="1" thickBot="1" x14ac:dyDescent="0.25">
      <c r="B35" s="325"/>
      <c r="C35" s="80" t="s">
        <v>80</v>
      </c>
      <c r="D35" s="311"/>
      <c r="E35" s="312"/>
      <c r="F35" s="313"/>
      <c r="J35" s="2"/>
      <c r="K35" s="2"/>
      <c r="L35" s="2"/>
      <c r="M35" s="2"/>
      <c r="N35" s="7"/>
      <c r="O35" s="7"/>
      <c r="Q35" s="13"/>
      <c r="R35" s="13"/>
    </row>
    <row r="36" spans="2:22" ht="15" customHeight="1" thickBot="1" x14ac:dyDescent="0.25">
      <c r="B36" s="326" t="str">
        <f>IF(C2="centrally driven sludge scraper with a fixed bridge","-","Supply of electric cables")</f>
        <v>Supply of electric cables</v>
      </c>
      <c r="C36" s="327"/>
      <c r="D36" s="328">
        <f>Questionnaire!D35:F35</f>
        <v>0</v>
      </c>
      <c r="E36" s="329"/>
      <c r="F36" s="330"/>
      <c r="H36" s="3"/>
      <c r="J36" s="2"/>
      <c r="K36" s="2"/>
      <c r="L36" s="2"/>
      <c r="M36" s="2"/>
      <c r="N36" s="7"/>
      <c r="O36" s="7"/>
      <c r="Q36" s="22"/>
      <c r="R36" s="22"/>
    </row>
    <row r="37" spans="2:22" ht="15" customHeight="1" thickBot="1" x14ac:dyDescent="0.25">
      <c r="B37" s="314" t="s">
        <v>42</v>
      </c>
      <c r="C37" s="315"/>
      <c r="D37" s="318"/>
      <c r="E37" s="319"/>
      <c r="F37" s="320"/>
      <c r="H37" s="3"/>
      <c r="J37" s="2"/>
      <c r="K37" s="2"/>
      <c r="L37" s="2"/>
      <c r="M37" s="2"/>
      <c r="N37" s="7"/>
      <c r="O37" s="7"/>
      <c r="Q37" s="9"/>
      <c r="R37" s="9"/>
    </row>
    <row r="38" spans="2:22" ht="15" customHeight="1" thickBot="1" x14ac:dyDescent="0.25">
      <c r="B38" s="316"/>
      <c r="C38" s="317"/>
      <c r="D38" s="321"/>
      <c r="E38" s="322"/>
      <c r="F38" s="323"/>
      <c r="J38" s="2"/>
      <c r="K38" s="2"/>
      <c r="L38" s="2"/>
      <c r="M38" s="2"/>
      <c r="N38" s="7"/>
      <c r="O38" s="7"/>
      <c r="P38" s="2"/>
      <c r="Q38" s="14"/>
      <c r="R38" s="14"/>
      <c r="S38" s="2"/>
      <c r="T38" s="2"/>
      <c r="U38" s="2"/>
      <c r="V38" s="2"/>
    </row>
    <row r="39" spans="2:22" s="2" customFormat="1" ht="15" customHeight="1" thickBot="1" x14ac:dyDescent="0.4">
      <c r="B39" s="3" t="s">
        <v>140</v>
      </c>
      <c r="C39" s="16"/>
      <c r="D39" s="17"/>
      <c r="E39" s="16"/>
      <c r="F39" s="17"/>
      <c r="J39" s="89" t="s">
        <v>1</v>
      </c>
      <c r="K39" s="88" t="s">
        <v>33</v>
      </c>
      <c r="L39" s="88"/>
      <c r="N39" s="7" t="s">
        <v>22</v>
      </c>
      <c r="O39" s="7"/>
      <c r="P39" s="3"/>
      <c r="Q39" s="10" t="s">
        <v>28</v>
      </c>
      <c r="R39" s="10" t="s">
        <v>27</v>
      </c>
      <c r="S39" s="3"/>
      <c r="T39" s="3"/>
      <c r="U39" s="3"/>
      <c r="V39" s="3"/>
    </row>
    <row r="40" spans="2:22" ht="15" customHeight="1" thickBot="1" x14ac:dyDescent="0.3">
      <c r="B40" s="3" t="s">
        <v>151</v>
      </c>
      <c r="C40" s="16"/>
      <c r="D40" s="17"/>
      <c r="E40" s="16"/>
      <c r="J40" s="8"/>
      <c r="K40" s="7" t="s">
        <v>2</v>
      </c>
      <c r="L40" s="7"/>
      <c r="M40" s="2"/>
      <c r="N40" s="7" t="s">
        <v>23</v>
      </c>
      <c r="O40" s="7"/>
      <c r="Q40" s="11" t="s">
        <v>29</v>
      </c>
      <c r="R40" s="11" t="s">
        <v>26</v>
      </c>
    </row>
    <row r="41" spans="2:22" ht="15" customHeight="1" thickBot="1" x14ac:dyDescent="0.3">
      <c r="B41" s="17" t="s">
        <v>231</v>
      </c>
      <c r="C41" s="16"/>
      <c r="D41" s="17"/>
      <c r="F41" s="15"/>
      <c r="J41" s="8"/>
      <c r="K41" s="7" t="s">
        <v>3</v>
      </c>
      <c r="L41" s="7" t="s">
        <v>27</v>
      </c>
      <c r="M41" s="2"/>
      <c r="N41" s="7" t="s">
        <v>24</v>
      </c>
      <c r="O41" s="7"/>
      <c r="Q41" s="9" t="s">
        <v>30</v>
      </c>
      <c r="R41" s="9" t="s">
        <v>26</v>
      </c>
    </row>
    <row r="42" spans="2:22" ht="15" customHeight="1" thickBot="1" x14ac:dyDescent="0.3">
      <c r="B42" s="17"/>
      <c r="C42" s="16"/>
      <c r="D42" s="16"/>
      <c r="E42" s="16"/>
      <c r="F42" s="16"/>
      <c r="J42" s="7" t="s">
        <v>8</v>
      </c>
      <c r="K42" s="7" t="s">
        <v>9</v>
      </c>
      <c r="L42" s="7"/>
      <c r="M42" s="2"/>
      <c r="N42" s="18"/>
      <c r="O42" s="18"/>
    </row>
    <row r="43" spans="2:22" ht="15" thickBot="1" x14ac:dyDescent="0.25">
      <c r="J43" s="7" t="s">
        <v>10</v>
      </c>
      <c r="K43" s="7" t="s">
        <v>11</v>
      </c>
      <c r="L43" s="7" t="s">
        <v>12</v>
      </c>
      <c r="M43" s="2" t="s">
        <v>14</v>
      </c>
      <c r="N43" s="7" t="s">
        <v>12</v>
      </c>
      <c r="O43" s="2" t="s">
        <v>34</v>
      </c>
    </row>
    <row r="44" spans="2:22" ht="15.75" thickBot="1" x14ac:dyDescent="0.3">
      <c r="B44" s="119" t="str">
        <f>IF(OR(D23="Required",D23="Existing"),"Inlet pipe","-")</f>
        <v>-</v>
      </c>
      <c r="C44" s="118"/>
      <c r="J44" s="7"/>
      <c r="K44" s="7"/>
      <c r="L44" s="7" t="s">
        <v>13</v>
      </c>
      <c r="M44" s="2" t="s">
        <v>27</v>
      </c>
      <c r="N44" s="7" t="s">
        <v>13</v>
      </c>
      <c r="O44" s="2" t="s">
        <v>27</v>
      </c>
    </row>
    <row r="45" spans="2:22" ht="15" thickBot="1" x14ac:dyDescent="0.25">
      <c r="B45" s="118" t="str">
        <f>IF(OR(D23="Required",D23="Existing"),"DN","-")</f>
        <v>-</v>
      </c>
      <c r="C45" s="118"/>
      <c r="J45" s="19" t="s">
        <v>14</v>
      </c>
      <c r="K45" s="7" t="s">
        <v>35</v>
      </c>
      <c r="L45" s="7"/>
      <c r="M45" s="2"/>
      <c r="N45" s="7"/>
      <c r="O45" s="2"/>
    </row>
    <row r="46" spans="2:22" ht="15" thickBot="1" x14ac:dyDescent="0.25">
      <c r="B46" s="118" t="str">
        <f>IF(OR(D23="Required",D23="Existing"),"Length, mm","-")</f>
        <v>-</v>
      </c>
      <c r="C46" s="118"/>
      <c r="J46" s="7" t="s">
        <v>27</v>
      </c>
      <c r="K46" s="7"/>
      <c r="L46" s="7"/>
      <c r="M46" s="2"/>
      <c r="N46" s="2"/>
      <c r="O46" s="2"/>
    </row>
    <row r="47" spans="2:22" ht="15" thickBot="1" x14ac:dyDescent="0.25">
      <c r="B47" s="118" t="str">
        <f>IF(OR(D23="Required",D23="Existing"),"Material","-")</f>
        <v>-</v>
      </c>
      <c r="C47" s="118">
        <f>Questionnaire!C46</f>
        <v>0</v>
      </c>
      <c r="J47" s="7" t="s">
        <v>15</v>
      </c>
      <c r="K47" s="7" t="s">
        <v>16</v>
      </c>
      <c r="L47" s="7"/>
      <c r="M47" s="2"/>
      <c r="N47" s="2"/>
      <c r="O47" s="2"/>
    </row>
    <row r="48" spans="2:22" ht="15" thickBot="1" x14ac:dyDescent="0.25">
      <c r="J48" s="7"/>
      <c r="K48" s="7" t="s">
        <v>44</v>
      </c>
      <c r="L48" s="7"/>
      <c r="M48" s="2"/>
      <c r="N48" s="2"/>
      <c r="O48" s="2"/>
    </row>
    <row r="49" spans="2:15" ht="15.75" thickBot="1" x14ac:dyDescent="0.3">
      <c r="B49" s="119" t="str">
        <f>IF(OR(D22="Required",D22="Existing"),"Central inlet well","-")</f>
        <v>-</v>
      </c>
      <c r="C49" s="118"/>
      <c r="J49" s="7"/>
      <c r="K49" s="7" t="s">
        <v>17</v>
      </c>
      <c r="L49" s="7"/>
      <c r="M49" s="2"/>
      <c r="N49" s="2"/>
      <c r="O49" s="2"/>
    </row>
    <row r="50" spans="2:15" ht="15" thickBot="1" x14ac:dyDescent="0.25">
      <c r="B50" s="118" t="str">
        <f>IF(OR(D22="Required",D22="Existing"),"Diameter, m","-")</f>
        <v>-</v>
      </c>
      <c r="C50" s="118"/>
      <c r="J50" s="7"/>
      <c r="K50" s="7" t="s">
        <v>18</v>
      </c>
      <c r="L50" s="7"/>
      <c r="M50" s="2"/>
      <c r="N50" s="2"/>
      <c r="O50" s="2"/>
    </row>
    <row r="51" spans="2:15" ht="15" thickBot="1" x14ac:dyDescent="0.25">
      <c r="B51" s="118" t="str">
        <f>IF(OR(D22="required",D22="Existing"),"Height, m","-")</f>
        <v>-</v>
      </c>
      <c r="C51" s="118"/>
      <c r="J51" s="7"/>
      <c r="K51" s="7" t="s">
        <v>19</v>
      </c>
      <c r="L51" s="7"/>
      <c r="M51" s="2"/>
      <c r="N51" s="2"/>
      <c r="O51" s="2"/>
    </row>
    <row r="52" spans="2:15" ht="15" thickBot="1" x14ac:dyDescent="0.25">
      <c r="B52" s="118" t="str">
        <f>IF(OR(D22="Required",D22="Existing"),"Material","-")</f>
        <v>-</v>
      </c>
      <c r="C52" s="118">
        <f>Questionnaire!C51</f>
        <v>0</v>
      </c>
      <c r="J52" s="7" t="s">
        <v>20</v>
      </c>
      <c r="K52" s="7" t="s">
        <v>12</v>
      </c>
      <c r="L52" s="7" t="s">
        <v>31</v>
      </c>
      <c r="M52" s="2"/>
      <c r="N52" s="2"/>
      <c r="O52" s="2"/>
    </row>
    <row r="53" spans="2:15" ht="15" thickBot="1" x14ac:dyDescent="0.25">
      <c r="J53" s="7"/>
      <c r="K53" s="7" t="s">
        <v>13</v>
      </c>
      <c r="L53" s="7" t="s">
        <v>27</v>
      </c>
      <c r="M53" s="2"/>
      <c r="N53" s="2"/>
      <c r="O53" s="2"/>
    </row>
    <row r="54" spans="2:15" ht="15.75" thickBot="1" x14ac:dyDescent="0.3">
      <c r="B54" s="119" t="str">
        <f>IF(D24="Required","Scum removal system","-")</f>
        <v>-</v>
      </c>
      <c r="C54" s="118"/>
      <c r="J54" s="7"/>
      <c r="K54" s="7" t="s">
        <v>12</v>
      </c>
      <c r="L54" s="7" t="s">
        <v>32</v>
      </c>
      <c r="M54" s="2"/>
      <c r="N54" s="2"/>
      <c r="O54" s="2"/>
    </row>
    <row r="55" spans="2:15" ht="15" thickBot="1" x14ac:dyDescent="0.25">
      <c r="B55" s="118" t="str">
        <f>IF(D24="Required","Type","-")</f>
        <v>-</v>
      </c>
      <c r="C55" s="118">
        <f>Questionnaire!C54</f>
        <v>0</v>
      </c>
      <c r="J55" s="7"/>
      <c r="K55" s="7" t="s">
        <v>13</v>
      </c>
      <c r="L55" s="7" t="s">
        <v>27</v>
      </c>
      <c r="M55" s="2"/>
      <c r="N55" s="2"/>
      <c r="O55" s="2"/>
    </row>
    <row r="56" spans="2:15" ht="15" thickBot="1" x14ac:dyDescent="0.25">
      <c r="B56" s="118" t="str">
        <f>IF(D24="Required","Material","-")</f>
        <v>-</v>
      </c>
      <c r="C56" s="118">
        <f>Questionnaire!C55</f>
        <v>0</v>
      </c>
      <c r="J56" s="7" t="s">
        <v>21</v>
      </c>
      <c r="K56" s="7"/>
      <c r="L56" s="7"/>
      <c r="M56" s="2"/>
      <c r="N56" s="2"/>
      <c r="O56" s="2"/>
    </row>
    <row r="57" spans="2:15" x14ac:dyDescent="0.2"/>
    <row r="58" spans="2:15" ht="15" x14ac:dyDescent="0.25">
      <c r="B58" s="119" t="str">
        <f>IF(D27="Required","Scum baffle","-")</f>
        <v>-</v>
      </c>
      <c r="C58" s="118"/>
    </row>
    <row r="59" spans="2:15" x14ac:dyDescent="0.2">
      <c r="B59" s="118" t="str">
        <f>IF(D27="Required","Height, mm","-")</f>
        <v>-</v>
      </c>
      <c r="C59" s="118"/>
    </row>
    <row r="60" spans="2:15" x14ac:dyDescent="0.2">
      <c r="B60" s="118" t="str">
        <f>IF(D27="Required","Plate thickness, mm","-")</f>
        <v>-</v>
      </c>
      <c r="C60" s="118"/>
    </row>
    <row r="61" spans="2:15" x14ac:dyDescent="0.2">
      <c r="B61" s="118" t="str">
        <f>IF(D27="Required","Distance from the effluent launder to the scum baffle, mm","-")</f>
        <v>-</v>
      </c>
      <c r="C61" s="118"/>
    </row>
    <row r="62" spans="2:15" x14ac:dyDescent="0.2">
      <c r="B62" s="118" t="str">
        <f>IF(D27="Required","Material","-")</f>
        <v>-</v>
      </c>
      <c r="C62" s="118">
        <f>Questionnaire!C68</f>
        <v>0</v>
      </c>
    </row>
    <row r="63" spans="2:15" x14ac:dyDescent="0.2">
      <c r="B63" s="3" t="str">
        <f>IF(B58="Scum baffle","Note: Standard height of a scum baffle is 500 mm.","-")</f>
        <v>-</v>
      </c>
    </row>
    <row r="64" spans="2:15" x14ac:dyDescent="0.2"/>
    <row r="65" spans="2:4" ht="15" x14ac:dyDescent="0.25">
      <c r="B65" s="119" t="str">
        <f>IF(D26="Required","V-notch weir","-")</f>
        <v>-</v>
      </c>
      <c r="C65" s="118"/>
    </row>
    <row r="66" spans="2:4" x14ac:dyDescent="0.2">
      <c r="B66" s="118" t="str">
        <f>IF(D26="Required","Type (to be chosen from Drawings sheet)","-")</f>
        <v>-</v>
      </c>
      <c r="C66" s="118"/>
    </row>
    <row r="67" spans="2:4" x14ac:dyDescent="0.2">
      <c r="B67" s="118" t="str">
        <f>IF(D26="Required","Plate thickness, mm","-")</f>
        <v>-</v>
      </c>
      <c r="C67" s="118"/>
    </row>
    <row r="68" spans="2:4" x14ac:dyDescent="0.2">
      <c r="B68" s="118" t="str">
        <f>IF(D26="Required","Material","-")</f>
        <v>-</v>
      </c>
      <c r="C68" s="118">
        <f>Questionnaire!C74</f>
        <v>0</v>
      </c>
    </row>
    <row r="69" spans="2:4" x14ac:dyDescent="0.2"/>
    <row r="70" spans="2:4" ht="15" x14ac:dyDescent="0.25">
      <c r="B70" s="119" t="str">
        <f ca="1">IF(OR(Questionnaire!D25=Questionnaire!O9,Questionnaire!D26=Questionnaire!O9,Questionnaire!D24=Questionnaire!P11,Questionnaire!D24=Questionnaire!P9,Questionnaire!D28=Questionnaire!P9),"Effluent launder","-")</f>
        <v>-</v>
      </c>
      <c r="C70" s="118"/>
      <c r="D70" s="118"/>
    </row>
    <row r="71" spans="2:4" x14ac:dyDescent="0.2">
      <c r="B71" s="118" t="str">
        <f ca="1">IF(OR(Questionnaire!D25=Questionnaire!O9,Questionnaire!D26=Questionnaire!O9,Questionnaire!D24=Questionnaire!P11,Questionnaire!D24=Questionnaire!P9,Questionnaire!D28=Questionnaire!P9),"Effluent launder type","-")</f>
        <v>-</v>
      </c>
      <c r="C71" s="118">
        <f>Questionnaire!D58</f>
        <v>0</v>
      </c>
      <c r="D71" s="118"/>
    </row>
    <row r="72" spans="2:4" x14ac:dyDescent="0.2">
      <c r="B72" s="118" t="str">
        <f ca="1">IF(AND(OR(Questionnaire!D58=Questionnaire!Q3,Questionnaire!D58=Questionnaire!Q5),OR(Questionnaire!D25=Questionnaire!O9,Questionnaire!D26=Questionnaire!O9,Questionnaire!D24=Questionnaire!P11,Questionnaire!D24=Questionnaire!P9,Questionnaire!D28=Questionnaire!P9)),"Distance from the tank wall to the launder, mm","-")</f>
        <v>-</v>
      </c>
      <c r="C72" s="118"/>
      <c r="D72" s="118"/>
    </row>
    <row r="73" spans="2:4" x14ac:dyDescent="0.2">
      <c r="B73" s="118" t="str">
        <f ca="1">IF(OR(Questionnaire!D25=Questionnaire!O9,Questionnaire!D26=Questionnaire!O9,Questionnaire!D24=Questionnaire!P11,Questionnaire!D24=Questionnaire!P9,Questionnaire!D28=Questionnaire!P9),"Effluent launder dimensions","-")</f>
        <v>-</v>
      </c>
      <c r="C73" s="118" t="str">
        <f ca="1">IF(OR(Questionnaire!D25=Questionnaire!O9,Questionnaire!D26=Questionnaire!O9,Questionnaire!D24=Questionnaire!P11,Questionnaire!D24=Questionnaire!P9,Questionnaire!D28=Questionnaire!P9),"Width (including wall thickness of the launder), mm","-")</f>
        <v>-</v>
      </c>
      <c r="D73" s="118"/>
    </row>
    <row r="74" spans="2:4" x14ac:dyDescent="0.2">
      <c r="B74" s="118"/>
      <c r="C74" s="118" t="str">
        <f ca="1">IF(OR(Questionnaire!D25=Questionnaire!O9,Questionnaire!D26=Questionnaire!O9,Questionnaire!D24=Questionnaire!P11,Questionnaire!D24=Questionnaire!P9,Questionnaire!D28=Questionnaire!P9),"Height, mm","-")</f>
        <v>-</v>
      </c>
      <c r="D74" s="118"/>
    </row>
    <row r="75" spans="2:4" x14ac:dyDescent="0.2">
      <c r="B75" s="118" t="str">
        <f ca="1">IF(OR(Questionnaire!D25=Questionnaire!O9,Questionnaire!D26=Questionnaire!O9,Questionnaire!D24=Questionnaire!P11,Questionnaire!D24=Questionnaire!P9,Questionnaire!D28=Questionnaire!P9),"Material","-")</f>
        <v>-</v>
      </c>
      <c r="C75" s="118"/>
      <c r="D75" s="118">
        <f>Questionnaire!D62</f>
        <v>0</v>
      </c>
    </row>
    <row r="76" spans="2:4" x14ac:dyDescent="0.2"/>
    <row r="77" spans="2:4" x14ac:dyDescent="0.2"/>
    <row r="78" spans="2:4" x14ac:dyDescent="0.2"/>
    <row r="79" spans="2:4" x14ac:dyDescent="0.2"/>
    <row r="80" spans="2:4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96" x14ac:dyDescent="0.2"/>
    <row r="97" x14ac:dyDescent="0.2"/>
    <row r="98" x14ac:dyDescent="0.2"/>
    <row r="99" x14ac:dyDescent="0.2"/>
    <row r="100" x14ac:dyDescent="0.2"/>
    <row r="101" x14ac:dyDescent="0.2"/>
    <row r="102" x14ac:dyDescent="0.2"/>
    <row r="103" x14ac:dyDescent="0.2"/>
    <row r="104" x14ac:dyDescent="0.2"/>
    <row r="105" x14ac:dyDescent="0.2"/>
    <row r="106" x14ac:dyDescent="0.2"/>
    <row r="107" x14ac:dyDescent="0.2"/>
    <row r="108" x14ac:dyDescent="0.2"/>
    <row r="109" x14ac:dyDescent="0.2"/>
    <row r="110" x14ac:dyDescent="0.2"/>
    <row r="111" x14ac:dyDescent="0.2"/>
    <row r="112" x14ac:dyDescent="0.2"/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x14ac:dyDescent="0.2"/>
    <row r="122" x14ac:dyDescent="0.2"/>
    <row r="123" x14ac:dyDescent="0.2"/>
    <row r="124" x14ac:dyDescent="0.2"/>
    <row r="125" x14ac:dyDescent="0.2"/>
    <row r="126" x14ac:dyDescent="0.2"/>
    <row r="127" x14ac:dyDescent="0.2"/>
    <row r="128" x14ac:dyDescent="0.2"/>
    <row r="129" x14ac:dyDescent="0.2"/>
    <row r="130" x14ac:dyDescent="0.2"/>
    <row r="131" x14ac:dyDescent="0.2"/>
    <row r="132" x14ac:dyDescent="0.2"/>
    <row r="133" x14ac:dyDescent="0.2"/>
    <row r="134" x14ac:dyDescent="0.2"/>
    <row r="135" x14ac:dyDescent="0.2"/>
    <row r="136" x14ac:dyDescent="0.2"/>
    <row r="137" x14ac:dyDescent="0.2"/>
    <row r="138" x14ac:dyDescent="0.2"/>
    <row r="139" x14ac:dyDescent="0.2"/>
    <row r="140" x14ac:dyDescent="0.2"/>
    <row r="141" x14ac:dyDescent="0.2"/>
    <row r="142" x14ac:dyDescent="0.2"/>
    <row r="143" x14ac:dyDescent="0.2"/>
    <row r="144" x14ac:dyDescent="0.2"/>
    <row r="145" x14ac:dyDescent="0.2"/>
    <row r="146" x14ac:dyDescent="0.2"/>
    <row r="147" x14ac:dyDescent="0.2"/>
    <row r="148" x14ac:dyDescent="0.2"/>
    <row r="149" ht="14.25" customHeight="1" x14ac:dyDescent="0.2"/>
    <row r="150" ht="15" customHeight="1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</sheetData>
  <mergeCells count="43">
    <mergeCell ref="B8:F8"/>
    <mergeCell ref="B3:F3"/>
    <mergeCell ref="E4:F4"/>
    <mergeCell ref="E5:F5"/>
    <mergeCell ref="E6:F6"/>
    <mergeCell ref="E7:F7"/>
    <mergeCell ref="B9:C9"/>
    <mergeCell ref="B10:C10"/>
    <mergeCell ref="B17:C17"/>
    <mergeCell ref="D11:D12"/>
    <mergeCell ref="B11:C12"/>
    <mergeCell ref="B13:B16"/>
    <mergeCell ref="B18:C18"/>
    <mergeCell ref="D13:F13"/>
    <mergeCell ref="D17:F17"/>
    <mergeCell ref="E18:F18"/>
    <mergeCell ref="B19:C19"/>
    <mergeCell ref="D14:F14"/>
    <mergeCell ref="D15:F15"/>
    <mergeCell ref="D16:F16"/>
    <mergeCell ref="D22:F22"/>
    <mergeCell ref="D23:F23"/>
    <mergeCell ref="D24:F24"/>
    <mergeCell ref="E21:F21"/>
    <mergeCell ref="B21:C21"/>
    <mergeCell ref="B22:B30"/>
    <mergeCell ref="D26:F26"/>
    <mergeCell ref="D27:F27"/>
    <mergeCell ref="D28:F28"/>
    <mergeCell ref="D30:F30"/>
    <mergeCell ref="B31:F31"/>
    <mergeCell ref="D25:F25"/>
    <mergeCell ref="B32:C32"/>
    <mergeCell ref="B33:C33"/>
    <mergeCell ref="D32:F32"/>
    <mergeCell ref="E33:F33"/>
    <mergeCell ref="D34:F34"/>
    <mergeCell ref="D35:F35"/>
    <mergeCell ref="B37:C38"/>
    <mergeCell ref="D37:F38"/>
    <mergeCell ref="B34:B35"/>
    <mergeCell ref="B36:C36"/>
    <mergeCell ref="D36:F36"/>
  </mergeCells>
  <dataValidations count="4">
    <dataValidation type="list" allowBlank="1" showInputMessage="1" showErrorMessage="1" sqref="D39:D40" xr:uid="{00000000-0002-0000-0400-000000000000}">
      <formula1>Yes_No</formula1>
    </dataValidation>
    <dataValidation type="list" allowBlank="1" showInputMessage="1" showErrorMessage="1" sqref="D41" xr:uid="{00000000-0002-0000-0400-000001000000}">
      <formula1>Material</formula1>
    </dataValidation>
    <dataValidation type="list" allowBlank="1" showInputMessage="1" showErrorMessage="1" sqref="H3" xr:uid="{00000000-0002-0000-0400-000002000000}">
      <formula1>"RUS, ENG, US ENG, POL"</formula1>
    </dataValidation>
    <dataValidation allowBlank="1" showErrorMessage="1" prompt="Please indicate Cl- concentration if it is higher than 300 mg/l." sqref="D14:D16 D11:D12" xr:uid="{00000000-0002-0000-0400-000003000000}"/>
  </dataValidations>
  <pageMargins left="0.7" right="0.7" top="0.75" bottom="0.75" header="0.3" footer="0.3"/>
  <pageSetup paperSize="9" scale="6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/>
  <dimension ref="A2:U190"/>
  <sheetViews>
    <sheetView topLeftCell="M2" zoomScale="85" zoomScaleNormal="85" workbookViewId="0">
      <selection activeCell="P15" sqref="P15"/>
    </sheetView>
  </sheetViews>
  <sheetFormatPr defaultColWidth="0.85546875" defaultRowHeight="14.25" zeroHeight="1" x14ac:dyDescent="0.2"/>
  <cols>
    <col min="1" max="1" width="2" style="2" customWidth="1"/>
    <col min="2" max="2" width="36.42578125" style="3" customWidth="1"/>
    <col min="3" max="3" width="36" style="3" customWidth="1"/>
    <col min="4" max="4" width="25" style="3" customWidth="1"/>
    <col min="5" max="5" width="46" style="3" customWidth="1"/>
    <col min="6" max="6" width="57.28515625" style="3" customWidth="1"/>
    <col min="7" max="7" width="3.7109375" style="2" customWidth="1"/>
    <col min="8" max="8" width="23.7109375" style="2" customWidth="1"/>
    <col min="9" max="9" width="20.7109375" style="2" customWidth="1"/>
    <col min="10" max="11" width="20.7109375" style="3" customWidth="1"/>
    <col min="12" max="12" width="35.85546875" style="3" customWidth="1"/>
    <col min="13" max="13" width="20.7109375" style="3" customWidth="1"/>
    <col min="14" max="14" width="47.5703125" style="3" customWidth="1"/>
    <col min="15" max="16" width="20.7109375" style="3" customWidth="1"/>
    <col min="17" max="17" width="44.28515625" style="3" customWidth="1"/>
    <col min="18" max="23" width="20.7109375" style="3" customWidth="1"/>
    <col min="24" max="16384" width="0.85546875" style="3"/>
  </cols>
  <sheetData>
    <row r="2" spans="2:21" ht="15.75" thickBot="1" x14ac:dyDescent="0.3">
      <c r="B2" s="4" t="s">
        <v>77</v>
      </c>
      <c r="C2" s="3" t="str">
        <f>Questionnaire!C1</f>
        <v>илоскреб с периферийным приводом с вращающимся мостом</v>
      </c>
      <c r="J2" s="3" t="s">
        <v>0</v>
      </c>
    </row>
    <row r="3" spans="2:21" ht="15" thickBot="1" x14ac:dyDescent="0.25">
      <c r="B3" s="385" t="s">
        <v>64</v>
      </c>
      <c r="C3" s="386"/>
      <c r="D3" s="386"/>
      <c r="E3" s="386"/>
      <c r="F3" s="387"/>
      <c r="H3" s="2" t="s">
        <v>59</v>
      </c>
      <c r="J3" s="7" t="s">
        <v>69</v>
      </c>
      <c r="K3" s="3" t="s">
        <v>4</v>
      </c>
      <c r="L3" s="3" t="s">
        <v>160</v>
      </c>
      <c r="M3" s="45">
        <v>16</v>
      </c>
      <c r="N3" s="3" t="s">
        <v>123</v>
      </c>
      <c r="O3" s="3" t="str">
        <f>IF(D32="Да","На тележке","-")</f>
        <v>-</v>
      </c>
      <c r="P3" s="3" t="str">
        <f>IF(B55="Тип","Скребок с бункером сбора жира","-")</f>
        <v>-</v>
      </c>
      <c r="Q3" s="3" t="str">
        <f ca="1">IF(B71="Тип лотка","Бетонный, односторонний","-")</f>
        <v>-</v>
      </c>
      <c r="R3" s="3" t="s">
        <v>110</v>
      </c>
      <c r="S3" s="3" t="str">
        <f>IF(B49="Дефлектор","AISI 304","-")</f>
        <v>-</v>
      </c>
      <c r="T3" s="3" t="s">
        <v>4</v>
      </c>
      <c r="U3" s="3" t="s">
        <v>237</v>
      </c>
    </row>
    <row r="4" spans="2:21" ht="15" thickBot="1" x14ac:dyDescent="0.25">
      <c r="B4" s="27" t="s">
        <v>61</v>
      </c>
      <c r="C4" s="28"/>
      <c r="D4" s="29" t="s">
        <v>65</v>
      </c>
      <c r="E4" s="388"/>
      <c r="F4" s="389"/>
      <c r="H4" s="5" t="s">
        <v>71</v>
      </c>
      <c r="J4" s="8" t="s">
        <v>70</v>
      </c>
      <c r="K4" s="3" t="s">
        <v>5</v>
      </c>
      <c r="L4" s="3" t="s">
        <v>158</v>
      </c>
      <c r="M4" s="45">
        <v>18</v>
      </c>
      <c r="N4" s="3" t="s">
        <v>124</v>
      </c>
      <c r="O4" s="3" t="str">
        <f>IF(D32="Да","Рядом с отстойником","-")</f>
        <v>-</v>
      </c>
      <c r="P4" s="3" t="str">
        <f>IF(B55="Тип","Вращающаяся труба с насосом","-")</f>
        <v>-</v>
      </c>
      <c r="Q4" s="3" t="str">
        <f ca="1">IF(B71="Тип лотка","Бетонный, двусторонний","-")</f>
        <v>-</v>
      </c>
      <c r="R4" s="3" t="s">
        <v>149</v>
      </c>
      <c r="S4" s="3" t="str">
        <f>IF(B49="Дефлектор","AISI 304L","-")</f>
        <v>-</v>
      </c>
      <c r="T4" s="3" t="s">
        <v>5</v>
      </c>
      <c r="U4" s="3" t="s">
        <v>256</v>
      </c>
    </row>
    <row r="5" spans="2:21" x14ac:dyDescent="0.2">
      <c r="B5" s="27" t="s">
        <v>62</v>
      </c>
      <c r="C5" s="28"/>
      <c r="D5" s="29" t="s">
        <v>66</v>
      </c>
      <c r="E5" s="388"/>
      <c r="F5" s="389"/>
      <c r="H5" s="6" t="s">
        <v>72</v>
      </c>
      <c r="K5" s="3" t="s">
        <v>6</v>
      </c>
      <c r="L5" s="3" t="s">
        <v>159</v>
      </c>
      <c r="M5" s="45">
        <v>20</v>
      </c>
      <c r="O5" s="3" t="str">
        <f>IF(D32="Да","В помещении","-")</f>
        <v>-</v>
      </c>
      <c r="P5" s="3" t="str">
        <f>IF(B55="Тип","Винт с насосом","-")</f>
        <v>-</v>
      </c>
      <c r="Q5" s="3" t="str">
        <f ca="1">IF(B71="Тип лотка","Стальной, односторонний","-")</f>
        <v>-</v>
      </c>
      <c r="S5" s="3" t="str">
        <f>IF(B49="Дефлектор","AISI 316","-")</f>
        <v>-</v>
      </c>
      <c r="T5" s="3" t="s">
        <v>6</v>
      </c>
      <c r="U5" s="3" t="s">
        <v>255</v>
      </c>
    </row>
    <row r="6" spans="2:21" x14ac:dyDescent="0.2">
      <c r="B6" s="27" t="s">
        <v>63</v>
      </c>
      <c r="C6" s="28"/>
      <c r="D6" s="29" t="s">
        <v>57</v>
      </c>
      <c r="E6" s="388"/>
      <c r="F6" s="389"/>
      <c r="K6" s="3" t="s">
        <v>7</v>
      </c>
      <c r="M6" s="45">
        <v>24</v>
      </c>
      <c r="N6" s="3" t="s">
        <v>94</v>
      </c>
      <c r="Q6" s="3" t="str">
        <f ca="1">IF(B71="Тип лотка","Стальной, двусторонний","-")</f>
        <v>-</v>
      </c>
      <c r="S6" s="3" t="str">
        <f>IF(B49="Дефлектор","AISI 316L","-")</f>
        <v>-</v>
      </c>
      <c r="T6" s="3" t="s">
        <v>7</v>
      </c>
      <c r="U6" s="3" t="s">
        <v>238</v>
      </c>
    </row>
    <row r="7" spans="2:21" ht="15" thickBot="1" x14ac:dyDescent="0.25">
      <c r="B7" s="30" t="s">
        <v>27</v>
      </c>
      <c r="C7" s="31"/>
      <c r="D7" s="32" t="s">
        <v>67</v>
      </c>
      <c r="E7" s="390"/>
      <c r="F7" s="391"/>
      <c r="K7" s="3" t="s">
        <v>192</v>
      </c>
      <c r="L7" s="3" t="s">
        <v>12</v>
      </c>
      <c r="M7" s="45">
        <v>28</v>
      </c>
      <c r="N7" s="3" t="s">
        <v>95</v>
      </c>
      <c r="S7" s="3" t="str">
        <f>IF(B49="Дефлектор","ПВХ","-")</f>
        <v>-</v>
      </c>
      <c r="T7" s="3" t="s">
        <v>242</v>
      </c>
    </row>
    <row r="8" spans="2:21" ht="15" thickBot="1" x14ac:dyDescent="0.25">
      <c r="B8" s="382" t="s">
        <v>60</v>
      </c>
      <c r="C8" s="383"/>
      <c r="D8" s="383"/>
      <c r="E8" s="383"/>
      <c r="F8" s="384"/>
      <c r="H8" s="3"/>
      <c r="K8" s="3" t="s">
        <v>110</v>
      </c>
      <c r="L8" s="3" t="s">
        <v>13</v>
      </c>
      <c r="M8" s="45">
        <v>30</v>
      </c>
      <c r="N8" s="3" t="s">
        <v>136</v>
      </c>
      <c r="R8" s="3" t="str">
        <f ca="1">IF(OR(C71=Q5,C71=Q6),"AISI 304","-")</f>
        <v>-</v>
      </c>
      <c r="S8" s="3" t="str">
        <f>IF(B49="Дефлектор","Другое (указать)","-")</f>
        <v>-</v>
      </c>
      <c r="T8" s="3" t="s">
        <v>134</v>
      </c>
    </row>
    <row r="9" spans="2:21" ht="15" customHeight="1" x14ac:dyDescent="0.25">
      <c r="B9" s="373" t="s">
        <v>96</v>
      </c>
      <c r="C9" s="374"/>
      <c r="D9" s="82">
        <f>Questionnaire!D8</f>
        <v>0</v>
      </c>
      <c r="E9" s="83" t="s">
        <v>150</v>
      </c>
      <c r="F9" s="84">
        <f>Questionnaire!$F$8</f>
        <v>0</v>
      </c>
      <c r="J9" s="4"/>
      <c r="K9" s="3" t="s">
        <v>134</v>
      </c>
      <c r="L9" s="2"/>
      <c r="M9" s="46">
        <v>33</v>
      </c>
      <c r="N9" s="3" t="s">
        <v>4</v>
      </c>
      <c r="O9" s="2"/>
      <c r="Q9" s="3" t="s">
        <v>204</v>
      </c>
      <c r="R9" s="3" t="str">
        <f ca="1">IF(OR(C71=Q5,C71=Q6),"AISI 304L","-")</f>
        <v>-</v>
      </c>
      <c r="T9" s="3" t="s">
        <v>192</v>
      </c>
    </row>
    <row r="10" spans="2:21" ht="15" customHeight="1" x14ac:dyDescent="0.25">
      <c r="B10" s="375" t="s">
        <v>116</v>
      </c>
      <c r="C10" s="367"/>
      <c r="D10" s="69">
        <f>Questionnaire!D9</f>
        <v>0</v>
      </c>
      <c r="E10" s="70"/>
      <c r="F10" s="71"/>
      <c r="J10" s="4"/>
      <c r="K10" s="2" t="s">
        <v>85</v>
      </c>
      <c r="L10" s="2"/>
      <c r="M10" s="46">
        <v>40</v>
      </c>
      <c r="N10" s="3" t="s">
        <v>5</v>
      </c>
      <c r="O10" s="3" t="s">
        <v>129</v>
      </c>
      <c r="P10" s="3" t="s">
        <v>129</v>
      </c>
      <c r="Q10" s="3" t="s">
        <v>211</v>
      </c>
      <c r="R10" s="3" t="str">
        <f ca="1">IF(OR(C71=Q5,C71=Q6),"AISI 316","-")</f>
        <v>-</v>
      </c>
      <c r="T10" s="2" t="s">
        <v>85</v>
      </c>
    </row>
    <row r="11" spans="2:21" ht="30" customHeight="1" x14ac:dyDescent="0.25">
      <c r="B11" s="378" t="s">
        <v>0</v>
      </c>
      <c r="C11" s="379"/>
      <c r="D11" s="399">
        <f>Questionnaire!D10</f>
        <v>0</v>
      </c>
      <c r="E11" s="67" t="str">
        <f>IF(D11="Бытовые","-","Вид промышленности")</f>
        <v>Вид промышленности</v>
      </c>
      <c r="F11" s="68"/>
      <c r="H11" s="3"/>
      <c r="J11" s="35" t="s">
        <v>12</v>
      </c>
      <c r="K11" s="3" t="s">
        <v>73</v>
      </c>
      <c r="L11" s="2" t="s">
        <v>89</v>
      </c>
      <c r="M11" s="46">
        <v>50</v>
      </c>
      <c r="N11" s="3" t="s">
        <v>6</v>
      </c>
      <c r="O11" s="3" t="s">
        <v>130</v>
      </c>
      <c r="P11" s="3" t="s">
        <v>130</v>
      </c>
      <c r="Q11" s="3" t="s">
        <v>212</v>
      </c>
      <c r="R11" s="3" t="str">
        <f ca="1">IF(OR(C71=Q5,C71=Q6),"AISI 316L","-")</f>
        <v>-</v>
      </c>
      <c r="S11" s="3" t="str">
        <f>IF(B44="Подающая труба","AISI 304","-")</f>
        <v>-</v>
      </c>
    </row>
    <row r="12" spans="2:21" ht="51.75" customHeight="1" thickBot="1" x14ac:dyDescent="0.25">
      <c r="B12" s="316"/>
      <c r="C12" s="317"/>
      <c r="D12" s="400"/>
      <c r="E12" s="38" t="str">
        <f>IF(D11="Бытовые","-","Уточните источник образования стоков")</f>
        <v>Уточните источник образования стоков</v>
      </c>
      <c r="F12" s="24"/>
      <c r="H12" s="3"/>
      <c r="J12" s="34" t="s">
        <v>13</v>
      </c>
      <c r="K12" s="2" t="s">
        <v>74</v>
      </c>
      <c r="L12" s="2" t="s">
        <v>90</v>
      </c>
      <c r="M12" s="46">
        <v>54</v>
      </c>
      <c r="N12" s="3" t="s">
        <v>7</v>
      </c>
      <c r="O12" s="2"/>
      <c r="P12" s="3" t="s">
        <v>113</v>
      </c>
      <c r="Q12" s="3" t="s">
        <v>205</v>
      </c>
      <c r="R12" s="3" t="str">
        <f ca="1">IF(OR(C71=Q5,C71=Q6),"Другое (указать)","-")</f>
        <v>-</v>
      </c>
      <c r="S12" s="3" t="str">
        <f>IF(B44="Подающая труба","AISI 304L","-")</f>
        <v>-</v>
      </c>
    </row>
    <row r="13" spans="2:21" ht="19.5" customHeight="1" x14ac:dyDescent="0.25">
      <c r="B13" s="380" t="s">
        <v>99</v>
      </c>
      <c r="C13" s="23" t="s">
        <v>76</v>
      </c>
      <c r="D13" s="360"/>
      <c r="E13" s="361"/>
      <c r="F13" s="362"/>
      <c r="H13" s="3"/>
      <c r="J13" s="4"/>
      <c r="K13" s="2"/>
      <c r="L13" s="2" t="s">
        <v>191</v>
      </c>
      <c r="M13" s="46" t="s">
        <v>85</v>
      </c>
      <c r="N13" s="3" t="s">
        <v>134</v>
      </c>
      <c r="O13" s="3" t="str">
        <f>IF(D32="Да","На мосту","-")</f>
        <v>-</v>
      </c>
      <c r="Q13" s="3" t="str">
        <f>IF(C2="радиальный илоскреб c центральным приводом с неподвижным мостом","-","Сверху")</f>
        <v>Сверху</v>
      </c>
      <c r="S13" s="3" t="str">
        <f>IF(B44="Подающая труба","AISI 316","-")</f>
        <v>-</v>
      </c>
    </row>
    <row r="14" spans="2:21" ht="15" customHeight="1" x14ac:dyDescent="0.25">
      <c r="B14" s="381"/>
      <c r="C14" s="20" t="s">
        <v>100</v>
      </c>
      <c r="D14" s="21"/>
      <c r="E14" s="21"/>
      <c r="F14" s="1"/>
      <c r="H14" s="3"/>
      <c r="J14" s="4"/>
      <c r="K14" s="2"/>
      <c r="N14" s="2" t="s">
        <v>85</v>
      </c>
      <c r="O14" s="3" t="str">
        <f>IF(D32="Да","Рядом с отстойником","-")</f>
        <v>-</v>
      </c>
      <c r="Q14" s="3" t="str">
        <f>IF(C2="радиальный илоскреб c центральным приводом с неподвижным мостом","-","Снизу")</f>
        <v>Снизу</v>
      </c>
      <c r="S14" s="3" t="str">
        <f>IF(B44="Подающая труба","AISI 316L","-")</f>
        <v>-</v>
      </c>
    </row>
    <row r="15" spans="2:21" ht="15" customHeight="1" x14ac:dyDescent="0.25">
      <c r="B15" s="381"/>
      <c r="C15" s="20"/>
      <c r="D15" s="21"/>
      <c r="E15" s="21"/>
      <c r="F15" s="1"/>
      <c r="H15" s="3"/>
      <c r="J15" s="4"/>
      <c r="K15" s="3" t="str">
        <f>IF(B65="Перелив зубчатый","Бетон","-")</f>
        <v>-</v>
      </c>
      <c r="O15" s="3" t="str">
        <f>IF(D32="Да","В помещении","-")</f>
        <v>-</v>
      </c>
      <c r="S15" s="3" t="str">
        <f>IF(B44="Подающая труба","Другое (указать)","-")</f>
        <v>-</v>
      </c>
    </row>
    <row r="16" spans="2:21" ht="15" customHeight="1" x14ac:dyDescent="0.25">
      <c r="B16" s="381"/>
      <c r="C16" s="64"/>
      <c r="D16" s="25"/>
      <c r="E16" s="25"/>
      <c r="F16" s="26"/>
      <c r="H16" s="3"/>
      <c r="J16" s="4"/>
      <c r="K16" s="3" t="str">
        <f>IF(B65="Перелив зубчатый","Металл","-")</f>
        <v>-</v>
      </c>
      <c r="L16" s="2"/>
      <c r="N16" s="4"/>
      <c r="O16" s="2"/>
    </row>
    <row r="17" spans="2:18" ht="15" customHeight="1" thickBot="1" x14ac:dyDescent="0.3">
      <c r="B17" s="375" t="s">
        <v>86</v>
      </c>
      <c r="C17" s="367"/>
      <c r="D17" s="363">
        <f>Questionnaire!D16:F16</f>
        <v>0</v>
      </c>
      <c r="E17" s="364"/>
      <c r="F17" s="365"/>
      <c r="J17" s="4"/>
      <c r="K17" s="2"/>
      <c r="L17" s="2"/>
      <c r="M17" s="2"/>
      <c r="N17" s="4"/>
      <c r="O17" s="2"/>
    </row>
    <row r="18" spans="2:18" ht="15" customHeight="1" thickBot="1" x14ac:dyDescent="0.3">
      <c r="B18" s="406" t="s">
        <v>87</v>
      </c>
      <c r="C18" s="359"/>
      <c r="D18" s="51">
        <f>Questionnaire!D17</f>
        <v>0</v>
      </c>
      <c r="E18" s="98" t="str">
        <f>IF(D18="Да","№","-")</f>
        <v>-</v>
      </c>
      <c r="F18" s="99"/>
      <c r="J18" s="2"/>
      <c r="K18" s="2"/>
      <c r="L18" s="2"/>
      <c r="M18" s="2"/>
      <c r="N18" s="2"/>
      <c r="O18" s="90"/>
      <c r="Q18" s="12"/>
      <c r="R18" s="12"/>
    </row>
    <row r="19" spans="2:18" ht="15" customHeight="1" thickBot="1" x14ac:dyDescent="0.3">
      <c r="B19" s="406" t="s">
        <v>139</v>
      </c>
      <c r="C19" s="359"/>
      <c r="D19" s="75">
        <f>Questionnaire!D18:F18</f>
        <v>0</v>
      </c>
      <c r="E19" s="76" t="s">
        <v>197</v>
      </c>
      <c r="F19" s="77"/>
      <c r="J19" s="2"/>
      <c r="K19" s="2"/>
      <c r="L19" s="2"/>
      <c r="M19" s="2" t="s">
        <v>208</v>
      </c>
      <c r="N19" s="2"/>
      <c r="O19" s="90"/>
      <c r="Q19" s="12"/>
      <c r="R19" s="12"/>
    </row>
    <row r="20" spans="2:18" ht="15" customHeight="1" thickBot="1" x14ac:dyDescent="0.3">
      <c r="B20" s="120" t="s">
        <v>199</v>
      </c>
      <c r="C20" s="121"/>
      <c r="D20" s="73"/>
      <c r="E20" s="125" t="s">
        <v>137</v>
      </c>
      <c r="F20" s="126"/>
      <c r="H20" s="15"/>
      <c r="J20" s="3" t="str">
        <f>IF(B65="Перелив зубчатый","AISI 304","-")</f>
        <v>-</v>
      </c>
      <c r="K20" s="3" t="str">
        <f>IF(B58="Полупогружная доска","AISI 304","-")</f>
        <v>-</v>
      </c>
      <c r="L20" s="3" t="str">
        <f>IF(B54="Система сбора плавающих","AISI 304","-")</f>
        <v>-</v>
      </c>
      <c r="M20" s="15" t="s">
        <v>198</v>
      </c>
      <c r="N20" s="2"/>
      <c r="O20" s="90"/>
      <c r="Q20" s="12"/>
      <c r="R20" s="12"/>
    </row>
    <row r="21" spans="2:18" ht="26.25" customHeight="1" thickBot="1" x14ac:dyDescent="0.3">
      <c r="B21" s="350" t="s">
        <v>132</v>
      </c>
      <c r="C21" s="351"/>
      <c r="D21" s="52">
        <f>Questionnaire!D20</f>
        <v>0</v>
      </c>
      <c r="E21" s="59"/>
      <c r="F21" s="53"/>
      <c r="H21" s="15"/>
      <c r="J21" s="3" t="str">
        <f>IF(B65="Перелив зубчатый","AISI 304L","-")</f>
        <v>-</v>
      </c>
      <c r="K21" s="3" t="str">
        <f>IF(B58="Полупогружная доска","AISI 304L","-")</f>
        <v>-</v>
      </c>
      <c r="L21" s="3" t="str">
        <f>IF(B54="Система сбора плавающих","AISI 304L","-")</f>
        <v>-</v>
      </c>
      <c r="M21" s="15" t="s">
        <v>206</v>
      </c>
      <c r="N21" s="2"/>
      <c r="O21" s="90"/>
      <c r="Q21" s="12"/>
      <c r="R21" s="12"/>
    </row>
    <row r="22" spans="2:18" ht="15" customHeight="1" thickBot="1" x14ac:dyDescent="0.3">
      <c r="B22" s="407" t="s">
        <v>141</v>
      </c>
      <c r="C22" s="81" t="s">
        <v>125</v>
      </c>
      <c r="D22" s="410">
        <f>Questionnaire!D21:F21</f>
        <v>0</v>
      </c>
      <c r="E22" s="335"/>
      <c r="F22" s="336"/>
      <c r="H22" s="15"/>
      <c r="I22" s="15"/>
      <c r="J22" s="3" t="str">
        <f>IF(B65="Перелив зубчатый","AISI 316","-")</f>
        <v>-</v>
      </c>
      <c r="K22" s="3" t="str">
        <f>IF(B58="Полупогружная доска","AISI 316","-")</f>
        <v>-</v>
      </c>
      <c r="L22" s="3" t="str">
        <f>IF(B54="Система сбора плавающих","AISI 316","-")</f>
        <v>-</v>
      </c>
      <c r="M22" s="2" t="s">
        <v>244</v>
      </c>
      <c r="N22" s="2"/>
      <c r="O22" s="90"/>
      <c r="Q22" s="12"/>
      <c r="R22" s="12"/>
    </row>
    <row r="23" spans="2:18" ht="15" customHeight="1" thickBot="1" x14ac:dyDescent="0.3">
      <c r="B23" s="408"/>
      <c r="C23" s="56" t="s">
        <v>126</v>
      </c>
      <c r="D23" s="410">
        <f>Questionnaire!D22:F22</f>
        <v>0</v>
      </c>
      <c r="E23" s="335"/>
      <c r="F23" s="336"/>
      <c r="H23" s="15"/>
      <c r="I23" s="15"/>
      <c r="J23" s="3" t="str">
        <f>IF(B65="Перелив зубчатый","AISI 316L","-")</f>
        <v>-</v>
      </c>
      <c r="K23" s="3" t="str">
        <f>IF(B58="Полупогружная доска","AISI 316L","-")</f>
        <v>-</v>
      </c>
      <c r="L23" s="3" t="str">
        <f>IF(B54="Система сбора плавающих","AISI 316L","-")</f>
        <v>-</v>
      </c>
      <c r="M23" s="2"/>
      <c r="N23" s="2"/>
      <c r="O23" s="90"/>
      <c r="Q23" s="12"/>
      <c r="R23" s="12"/>
    </row>
    <row r="24" spans="2:18" ht="15" customHeight="1" thickBot="1" x14ac:dyDescent="0.3">
      <c r="B24" s="408"/>
      <c r="C24" s="56" t="s">
        <v>148</v>
      </c>
      <c r="D24" s="410">
        <f>Questionnaire!D23:F23</f>
        <v>0</v>
      </c>
      <c r="E24" s="335"/>
      <c r="F24" s="336"/>
      <c r="H24" s="15"/>
      <c r="I24" s="15"/>
      <c r="J24" s="3" t="str">
        <f>IF(B65="Перелив зубчатый","ПВХ","-")</f>
        <v>-</v>
      </c>
      <c r="K24" s="3" t="str">
        <f>IF(B58="Полупогружная доска","ПВХ","-")</f>
        <v>-</v>
      </c>
      <c r="L24" s="2" t="str">
        <f>IF(B54="Система сбора плавающих","Другое (указать)","-")</f>
        <v>-</v>
      </c>
      <c r="M24" s="2"/>
      <c r="N24" s="2"/>
      <c r="O24" s="90"/>
      <c r="Q24" s="12"/>
      <c r="R24" s="12"/>
    </row>
    <row r="25" spans="2:18" ht="15" customHeight="1" thickBot="1" x14ac:dyDescent="0.3">
      <c r="B25" s="408"/>
      <c r="C25" s="56" t="s">
        <v>227</v>
      </c>
      <c r="D25" s="410">
        <f>Questionnaire!D24:F24</f>
        <v>0</v>
      </c>
      <c r="E25" s="335"/>
      <c r="F25" s="336"/>
      <c r="H25" s="15"/>
      <c r="I25" s="15"/>
      <c r="J25" s="3" t="str">
        <f>IF(B65="Перелив зубчатый","Другое (указать)","-")</f>
        <v>-</v>
      </c>
      <c r="K25" s="2" t="str">
        <f>IF(B58="Полупогружная доска","Другое (указать)","-")</f>
        <v>-</v>
      </c>
      <c r="L25" s="2"/>
      <c r="M25" s="2"/>
      <c r="N25" s="2"/>
      <c r="O25" s="90"/>
      <c r="Q25" s="13"/>
      <c r="R25" s="13"/>
    </row>
    <row r="26" spans="2:18" ht="15" customHeight="1" thickBot="1" x14ac:dyDescent="0.25">
      <c r="B26" s="408"/>
      <c r="C26" s="56" t="s">
        <v>103</v>
      </c>
      <c r="D26" s="410">
        <f>Questionnaire!D25</f>
        <v>0</v>
      </c>
      <c r="E26" s="411"/>
      <c r="F26" s="412"/>
      <c r="H26" s="15"/>
      <c r="I26" s="15"/>
      <c r="J26" s="2"/>
      <c r="K26" s="2"/>
      <c r="L26" s="2"/>
      <c r="M26" s="2"/>
      <c r="N26" s="2"/>
      <c r="O26" s="90"/>
      <c r="Q26" s="13"/>
      <c r="R26" s="13"/>
    </row>
    <row r="27" spans="2:18" ht="15" customHeight="1" thickBot="1" x14ac:dyDescent="0.25">
      <c r="B27" s="408"/>
      <c r="C27" s="56" t="s">
        <v>104</v>
      </c>
      <c r="D27" s="410">
        <f>Questionnaire!D26</f>
        <v>0</v>
      </c>
      <c r="E27" s="411"/>
      <c r="F27" s="412"/>
      <c r="H27" s="15"/>
      <c r="I27" s="15"/>
      <c r="J27" s="2"/>
      <c r="L27" s="2"/>
      <c r="M27" s="2"/>
      <c r="N27" s="2"/>
      <c r="O27" s="90"/>
      <c r="Q27" s="13"/>
      <c r="R27" s="13"/>
    </row>
    <row r="28" spans="2:18" ht="15" customHeight="1" thickBot="1" x14ac:dyDescent="0.25">
      <c r="B28" s="408"/>
      <c r="C28" s="57" t="s">
        <v>105</v>
      </c>
      <c r="D28" s="410">
        <f>Questionnaire!D27</f>
        <v>0</v>
      </c>
      <c r="E28" s="411"/>
      <c r="F28" s="412"/>
      <c r="H28" s="15"/>
      <c r="I28" s="15"/>
      <c r="J28" s="2"/>
      <c r="K28" s="2"/>
      <c r="L28" s="2"/>
      <c r="M28" s="2"/>
      <c r="N28" s="2"/>
      <c r="O28" s="90"/>
      <c r="Q28" s="13"/>
      <c r="R28" s="13"/>
    </row>
    <row r="29" spans="2:18" ht="15" customHeight="1" thickBot="1" x14ac:dyDescent="0.25">
      <c r="B29" s="408"/>
      <c r="C29" s="128" t="s">
        <v>106</v>
      </c>
      <c r="D29" s="132">
        <f>Questionnaire!D29</f>
        <v>0</v>
      </c>
      <c r="E29" s="133"/>
      <c r="F29" s="134"/>
      <c r="H29" s="15"/>
      <c r="I29" s="15"/>
      <c r="J29" s="2"/>
      <c r="K29" s="2"/>
      <c r="L29" s="2"/>
      <c r="M29" s="2"/>
      <c r="N29" s="2"/>
      <c r="O29" s="90"/>
      <c r="Q29" s="13"/>
      <c r="R29" s="13"/>
    </row>
    <row r="30" spans="2:18" ht="15" customHeight="1" thickBot="1" x14ac:dyDescent="0.25">
      <c r="B30" s="409"/>
      <c r="C30" s="58" t="s">
        <v>228</v>
      </c>
      <c r="D30" s="328">
        <f>Questionnaire!D30</f>
        <v>0</v>
      </c>
      <c r="E30" s="329"/>
      <c r="F30" s="330"/>
      <c r="J30" s="2"/>
      <c r="K30" s="72"/>
      <c r="L30" s="72"/>
      <c r="M30" s="2"/>
      <c r="N30" s="2"/>
      <c r="O30" s="90"/>
      <c r="Q30" s="10"/>
      <c r="R30" s="10"/>
    </row>
    <row r="31" spans="2:18" ht="15" customHeight="1" thickBot="1" x14ac:dyDescent="0.3">
      <c r="B31" s="331" t="s">
        <v>25</v>
      </c>
      <c r="C31" s="413"/>
      <c r="D31" s="414"/>
      <c r="E31" s="414"/>
      <c r="F31" s="317"/>
      <c r="J31" s="88"/>
      <c r="K31" s="88"/>
      <c r="L31" s="88"/>
      <c r="M31" s="2"/>
      <c r="N31" s="88"/>
      <c r="O31" s="7"/>
      <c r="Q31" s="11"/>
      <c r="R31" s="11"/>
    </row>
    <row r="32" spans="2:18" ht="15" customHeight="1" thickBot="1" x14ac:dyDescent="0.3">
      <c r="B32" s="337" t="s">
        <v>11</v>
      </c>
      <c r="C32" s="338"/>
      <c r="D32" s="341">
        <f>Questionnaire!D31</f>
        <v>0</v>
      </c>
      <c r="E32" s="419"/>
      <c r="F32" s="374"/>
      <c r="J32" s="7"/>
      <c r="K32" s="7"/>
      <c r="L32" s="7"/>
      <c r="M32" s="2"/>
      <c r="N32" s="7"/>
      <c r="O32" s="7"/>
      <c r="Q32" s="12"/>
      <c r="R32" s="12"/>
    </row>
    <row r="33" spans="2:20" ht="15" customHeight="1" thickBot="1" x14ac:dyDescent="0.3">
      <c r="B33" s="406" t="s">
        <v>107</v>
      </c>
      <c r="C33" s="359"/>
      <c r="D33" s="164">
        <f>Questionnaire!D32:F32</f>
        <v>0</v>
      </c>
      <c r="E33" s="420" t="str">
        <f>IF(D33=O3,"Только в случае  когда расстояние между поверхностью земли и бортом отстойника меньше 0.7 м."," ")</f>
        <v xml:space="preserve"> </v>
      </c>
      <c r="F33" s="421"/>
      <c r="J33" s="7"/>
      <c r="K33" s="7"/>
      <c r="L33" s="7"/>
      <c r="M33" s="2"/>
      <c r="N33" s="7"/>
      <c r="O33" s="7"/>
      <c r="Q33" s="12"/>
      <c r="R33" s="12"/>
    </row>
    <row r="34" spans="2:20" ht="15" customHeight="1" thickBot="1" x14ac:dyDescent="0.3">
      <c r="B34" s="415" t="s">
        <v>142</v>
      </c>
      <c r="C34" s="42" t="s">
        <v>81</v>
      </c>
      <c r="D34" s="311"/>
      <c r="E34" s="417"/>
      <c r="F34" s="418"/>
      <c r="J34" s="7"/>
      <c r="K34" s="7"/>
      <c r="L34" s="7"/>
      <c r="M34" s="2"/>
      <c r="N34" s="7"/>
      <c r="O34" s="7"/>
      <c r="Q34" s="9"/>
      <c r="R34" s="9"/>
    </row>
    <row r="35" spans="2:20" ht="45" customHeight="1" thickBot="1" x14ac:dyDescent="0.3">
      <c r="B35" s="416"/>
      <c r="C35" s="43" t="s">
        <v>82</v>
      </c>
      <c r="D35" s="311"/>
      <c r="E35" s="417"/>
      <c r="F35" s="418"/>
      <c r="J35" s="7"/>
      <c r="K35" s="7"/>
      <c r="L35" s="7"/>
      <c r="M35" s="2"/>
      <c r="N35" s="7"/>
      <c r="O35" s="7"/>
      <c r="Q35" s="13"/>
      <c r="R35" s="13"/>
    </row>
    <row r="36" spans="2:20" ht="17.25" customHeight="1" thickBot="1" x14ac:dyDescent="0.25">
      <c r="B36" s="326" t="str">
        <f>IF(C2="илоскреб с центральным приводом с неподвижным мостом","-","Подвод электропитания")</f>
        <v>Подвод электропитания</v>
      </c>
      <c r="C36" s="327"/>
      <c r="D36" s="328">
        <f>Questionnaire!D35:F35</f>
        <v>0</v>
      </c>
      <c r="E36" s="329"/>
      <c r="F36" s="330"/>
      <c r="J36" s="7"/>
      <c r="K36" s="7"/>
      <c r="L36" s="7"/>
      <c r="M36" s="2"/>
      <c r="N36" s="7"/>
      <c r="O36" s="7"/>
      <c r="Q36" s="22"/>
      <c r="R36" s="22"/>
    </row>
    <row r="37" spans="2:20" ht="15" customHeight="1" thickBot="1" x14ac:dyDescent="0.25">
      <c r="B37" s="314" t="s">
        <v>68</v>
      </c>
      <c r="C37" s="315"/>
      <c r="D37" s="318"/>
      <c r="E37" s="401"/>
      <c r="F37" s="402"/>
      <c r="J37" s="7"/>
      <c r="K37" s="7"/>
      <c r="L37" s="7"/>
      <c r="M37" s="2"/>
      <c r="N37" s="7"/>
      <c r="O37" s="7"/>
      <c r="Q37" s="9"/>
      <c r="R37" s="9"/>
    </row>
    <row r="38" spans="2:20" ht="15" customHeight="1" thickBot="1" x14ac:dyDescent="0.25">
      <c r="B38" s="316"/>
      <c r="C38" s="317"/>
      <c r="D38" s="403"/>
      <c r="E38" s="404"/>
      <c r="F38" s="405"/>
      <c r="J38" s="7"/>
      <c r="K38" s="7"/>
      <c r="L38" s="7"/>
      <c r="M38" s="2"/>
      <c r="N38" s="7"/>
      <c r="O38" s="7"/>
      <c r="P38" s="2"/>
      <c r="Q38" s="14"/>
      <c r="R38" s="14"/>
      <c r="S38" s="2"/>
      <c r="T38" s="2"/>
    </row>
    <row r="39" spans="2:20" s="2" customFormat="1" ht="17.25" customHeight="1" thickBot="1" x14ac:dyDescent="0.4">
      <c r="B39" s="2" t="s">
        <v>143</v>
      </c>
      <c r="C39" s="16"/>
      <c r="D39" s="17"/>
      <c r="E39" s="16"/>
      <c r="F39" s="33"/>
      <c r="J39" s="8" t="s">
        <v>1</v>
      </c>
      <c r="K39" s="7" t="s">
        <v>33</v>
      </c>
      <c r="L39" s="7"/>
      <c r="N39" s="7" t="s">
        <v>22</v>
      </c>
      <c r="O39" s="7"/>
      <c r="P39" s="3"/>
      <c r="Q39" s="10" t="s">
        <v>28</v>
      </c>
      <c r="R39" s="10" t="s">
        <v>27</v>
      </c>
      <c r="S39" s="3"/>
      <c r="T39" s="3"/>
    </row>
    <row r="40" spans="2:20" ht="16.5" customHeight="1" thickBot="1" x14ac:dyDescent="0.3">
      <c r="B40" s="33" t="s">
        <v>144</v>
      </c>
      <c r="C40" s="16"/>
      <c r="D40" s="17"/>
      <c r="E40" s="16"/>
      <c r="F40" s="2"/>
      <c r="J40" s="8"/>
      <c r="K40" s="7" t="s">
        <v>2</v>
      </c>
      <c r="L40" s="7"/>
      <c r="M40" s="2"/>
      <c r="N40" s="7" t="s">
        <v>23</v>
      </c>
      <c r="O40" s="7"/>
      <c r="Q40" s="11" t="s">
        <v>29</v>
      </c>
      <c r="R40" s="11" t="s">
        <v>26</v>
      </c>
    </row>
    <row r="41" spans="2:20" ht="15" customHeight="1" thickBot="1" x14ac:dyDescent="0.3">
      <c r="B41" s="17" t="s">
        <v>230</v>
      </c>
      <c r="C41" s="16"/>
      <c r="D41" s="17"/>
      <c r="F41" s="17"/>
      <c r="J41" s="8"/>
      <c r="K41" s="7" t="s">
        <v>3</v>
      </c>
      <c r="L41" s="7" t="s">
        <v>27</v>
      </c>
      <c r="M41" s="2"/>
      <c r="N41" s="7" t="s">
        <v>24</v>
      </c>
      <c r="O41" s="7"/>
      <c r="Q41" s="9" t="s">
        <v>30</v>
      </c>
      <c r="R41" s="9" t="s">
        <v>26</v>
      </c>
    </row>
    <row r="42" spans="2:20" ht="15" customHeight="1" thickBot="1" x14ac:dyDescent="0.3">
      <c r="B42" s="17"/>
      <c r="C42" s="16"/>
      <c r="D42" s="16"/>
      <c r="E42" s="16"/>
      <c r="F42" s="16"/>
      <c r="J42" s="7"/>
      <c r="K42" s="7"/>
      <c r="L42" s="7"/>
      <c r="M42" s="2"/>
      <c r="N42" s="7"/>
      <c r="O42" s="7" t="s">
        <v>13</v>
      </c>
    </row>
    <row r="43" spans="2:20" ht="15" customHeight="1" thickBot="1" x14ac:dyDescent="0.25">
      <c r="J43" s="7" t="s">
        <v>8</v>
      </c>
      <c r="K43" s="7" t="s">
        <v>9</v>
      </c>
      <c r="L43" s="7"/>
      <c r="M43" s="2"/>
      <c r="N43" s="18"/>
      <c r="O43" s="18"/>
    </row>
    <row r="44" spans="2:20" ht="15" customHeight="1" thickBot="1" x14ac:dyDescent="0.25">
      <c r="B44" s="392" t="str">
        <f>IF(D23="Требуется","Подающая труба","-")</f>
        <v>-</v>
      </c>
      <c r="C44" s="393"/>
      <c r="J44" s="7" t="s">
        <v>10</v>
      </c>
      <c r="K44" s="7" t="s">
        <v>11</v>
      </c>
      <c r="L44" s="7" t="s">
        <v>12</v>
      </c>
      <c r="M44" s="2" t="s">
        <v>14</v>
      </c>
      <c r="N44" s="7" t="s">
        <v>12</v>
      </c>
      <c r="O44" s="2" t="s">
        <v>34</v>
      </c>
    </row>
    <row r="45" spans="2:20" ht="15.75" customHeight="1" thickBot="1" x14ac:dyDescent="0.25">
      <c r="B45" s="63" t="str">
        <f>IF(D23="Требуется","DN","-")</f>
        <v>-</v>
      </c>
      <c r="C45" s="66"/>
      <c r="J45" s="7"/>
      <c r="K45" s="7"/>
      <c r="L45" s="7" t="s">
        <v>13</v>
      </c>
      <c r="M45" s="2" t="s">
        <v>27</v>
      </c>
      <c r="N45" s="7" t="s">
        <v>13</v>
      </c>
      <c r="O45" s="2" t="s">
        <v>27</v>
      </c>
    </row>
    <row r="46" spans="2:20" ht="15" customHeight="1" thickBot="1" x14ac:dyDescent="0.25">
      <c r="B46" s="63" t="str">
        <f>IF(D23="Требуется","Длина, м","-")</f>
        <v>-</v>
      </c>
      <c r="C46" s="66"/>
      <c r="J46" s="19" t="s">
        <v>14</v>
      </c>
      <c r="K46" s="7" t="s">
        <v>35</v>
      </c>
      <c r="L46" s="7"/>
      <c r="M46" s="2"/>
      <c r="N46" s="7"/>
      <c r="O46" s="2"/>
    </row>
    <row r="47" spans="2:20" ht="15" customHeight="1" thickBot="1" x14ac:dyDescent="0.25">
      <c r="B47" s="60" t="str">
        <f>IF(D23="Требуется","Материал","-")</f>
        <v>-</v>
      </c>
      <c r="C47" s="86">
        <f>Questionnaire!C46</f>
        <v>0</v>
      </c>
      <c r="J47" s="7" t="s">
        <v>27</v>
      </c>
      <c r="K47" s="7"/>
      <c r="L47" s="7"/>
      <c r="M47" s="2"/>
      <c r="N47" s="2"/>
      <c r="O47" s="2"/>
    </row>
    <row r="48" spans="2:20" ht="15" customHeight="1" thickBot="1" x14ac:dyDescent="0.25">
      <c r="J48" s="7" t="s">
        <v>15</v>
      </c>
      <c r="K48" s="7" t="s">
        <v>16</v>
      </c>
      <c r="L48" s="7"/>
      <c r="M48" s="2"/>
      <c r="N48" s="2"/>
      <c r="O48" s="2"/>
    </row>
    <row r="49" spans="2:15" ht="15" customHeight="1" thickBot="1" x14ac:dyDescent="0.25">
      <c r="B49" s="392" t="str">
        <f>IF(D22="Требуется","Дефлектор","-")</f>
        <v>-</v>
      </c>
      <c r="C49" s="393"/>
      <c r="J49" s="7"/>
      <c r="K49" s="7" t="s">
        <v>44</v>
      </c>
      <c r="L49" s="7"/>
      <c r="M49" s="2"/>
      <c r="N49" s="2"/>
      <c r="O49" s="2"/>
    </row>
    <row r="50" spans="2:15" ht="15" customHeight="1" thickBot="1" x14ac:dyDescent="0.25">
      <c r="B50" s="63" t="str">
        <f>IF(D22="Требуется","Диаметр, м","-")</f>
        <v>-</v>
      </c>
      <c r="C50" s="66"/>
      <c r="J50" s="7"/>
      <c r="K50" s="7" t="s">
        <v>17</v>
      </c>
      <c r="L50" s="7"/>
      <c r="M50" s="2"/>
      <c r="N50" s="2"/>
      <c r="O50" s="2"/>
    </row>
    <row r="51" spans="2:15" ht="15" customHeight="1" thickBot="1" x14ac:dyDescent="0.25">
      <c r="B51" s="63" t="str">
        <f>IF(D22="Требуется","Высота, м","-")</f>
        <v>-</v>
      </c>
      <c r="C51" s="66"/>
      <c r="J51" s="7"/>
      <c r="K51" s="7" t="s">
        <v>18</v>
      </c>
      <c r="L51" s="7"/>
      <c r="M51" s="2"/>
      <c r="N51" s="2"/>
      <c r="O51" s="2"/>
    </row>
    <row r="52" spans="2:15" ht="15" customHeight="1" thickBot="1" x14ac:dyDescent="0.25">
      <c r="B52" s="60" t="str">
        <f>IF(D22="Требуется","Материал","-")</f>
        <v>-</v>
      </c>
      <c r="C52" s="86">
        <f>Questionnaire!C51</f>
        <v>0</v>
      </c>
      <c r="J52" s="7"/>
      <c r="K52" s="7" t="s">
        <v>19</v>
      </c>
      <c r="L52" s="7"/>
      <c r="M52" s="2"/>
      <c r="N52" s="2"/>
      <c r="O52" s="2"/>
    </row>
    <row r="53" spans="2:15" ht="15" customHeight="1" thickBot="1" x14ac:dyDescent="0.25">
      <c r="J53" s="7" t="s">
        <v>20</v>
      </c>
      <c r="K53" s="7" t="s">
        <v>12</v>
      </c>
      <c r="L53" s="7" t="s">
        <v>31</v>
      </c>
      <c r="M53" s="2"/>
      <c r="N53" s="2"/>
      <c r="O53" s="2"/>
    </row>
    <row r="54" spans="2:15" ht="15" customHeight="1" thickBot="1" x14ac:dyDescent="0.25">
      <c r="B54" s="395" t="str">
        <f>IF(D24="Требуется","Система сбора плавающих","-")</f>
        <v>-</v>
      </c>
      <c r="C54" s="396"/>
      <c r="J54" s="7"/>
      <c r="K54" s="7" t="s">
        <v>13</v>
      </c>
      <c r="L54" s="7" t="s">
        <v>27</v>
      </c>
      <c r="M54" s="2"/>
      <c r="N54" s="2"/>
      <c r="O54" s="2"/>
    </row>
    <row r="55" spans="2:15" ht="15" customHeight="1" thickBot="1" x14ac:dyDescent="0.25">
      <c r="B55" s="61" t="str">
        <f>IF(D24="Требуется","Тип","-")</f>
        <v>-</v>
      </c>
      <c r="C55" s="74">
        <f>Questionnaire!C54</f>
        <v>0</v>
      </c>
      <c r="J55" s="7"/>
      <c r="K55" s="7" t="s">
        <v>12</v>
      </c>
      <c r="L55" s="7" t="s">
        <v>32</v>
      </c>
      <c r="M55" s="2"/>
      <c r="N55" s="2"/>
      <c r="O55" s="2"/>
    </row>
    <row r="56" spans="2:15" ht="15" thickBot="1" x14ac:dyDescent="0.25">
      <c r="B56" s="62" t="str">
        <f>IF(D24="Требуется","Материал","-")</f>
        <v>-</v>
      </c>
      <c r="C56" s="97">
        <f>Questionnaire!C55</f>
        <v>0</v>
      </c>
      <c r="J56" s="7"/>
      <c r="K56" s="7" t="s">
        <v>13</v>
      </c>
      <c r="L56" s="7" t="s">
        <v>27</v>
      </c>
      <c r="M56" s="2"/>
      <c r="N56" s="2"/>
      <c r="O56" s="2"/>
    </row>
    <row r="57" spans="2:15" ht="15" customHeight="1" thickBot="1" x14ac:dyDescent="0.25">
      <c r="J57" s="7" t="s">
        <v>21</v>
      </c>
      <c r="K57" s="7"/>
      <c r="L57" s="7"/>
      <c r="M57" s="2"/>
      <c r="N57" s="2"/>
      <c r="O57" s="2"/>
    </row>
    <row r="58" spans="2:15" ht="15" customHeight="1" x14ac:dyDescent="0.2">
      <c r="B58" s="397" t="str">
        <f>IF(D27="Требуется","Полупогружная доска","-")</f>
        <v>-</v>
      </c>
      <c r="C58" s="398"/>
    </row>
    <row r="59" spans="2:15" ht="14.25" customHeight="1" x14ac:dyDescent="0.2">
      <c r="B59" s="92" t="str">
        <f>IF(D27="Требуется","Высота, мм","-")</f>
        <v>-</v>
      </c>
      <c r="C59" s="91"/>
    </row>
    <row r="60" spans="2:15" ht="14.25" customHeight="1" x14ac:dyDescent="0.2">
      <c r="B60" s="93" t="str">
        <f>IF(D27="Требуется","Толщина пластины, мм","-")</f>
        <v>-</v>
      </c>
      <c r="C60" s="91"/>
    </row>
    <row r="61" spans="2:15" ht="15" customHeight="1" x14ac:dyDescent="0.2">
      <c r="B61" s="93" t="str">
        <f>IF(D27="Требуется","Расстояние между переливным лотком и полупогружной доской","-")</f>
        <v>-</v>
      </c>
      <c r="C61" s="91"/>
    </row>
    <row r="62" spans="2:15" ht="15" thickBot="1" x14ac:dyDescent="0.25">
      <c r="B62" s="95" t="str">
        <f>IF(D27="Требуется","Материал","-")</f>
        <v>-</v>
      </c>
      <c r="C62" s="94">
        <f>Questionnaire!C68</f>
        <v>0</v>
      </c>
    </row>
    <row r="63" spans="2:15" x14ac:dyDescent="0.2">
      <c r="B63" s="394" t="str">
        <f>IF(B58="Полупогружная доска","Стандартная высота полупогружной доски 500 мм","-")</f>
        <v>-</v>
      </c>
      <c r="C63" s="394"/>
    </row>
    <row r="64" spans="2:15" ht="14.25" customHeight="1" thickBot="1" x14ac:dyDescent="0.25"/>
    <row r="65" spans="2:4" ht="15" x14ac:dyDescent="0.2">
      <c r="B65" s="392" t="str">
        <f>IF(D26="Требуется","Перелив зубчатый","-")</f>
        <v>-</v>
      </c>
      <c r="C65" s="393"/>
    </row>
    <row r="66" spans="2:4" x14ac:dyDescent="0.2">
      <c r="B66" s="87" t="str">
        <f>IF(D26="Требуется","Тип перелива (выбрать из вкладки Drawings)","-")</f>
        <v>-</v>
      </c>
      <c r="C66" s="66"/>
    </row>
    <row r="67" spans="2:4" ht="15" customHeight="1" x14ac:dyDescent="0.2">
      <c r="B67" s="63" t="str">
        <f>IF(D26="Требуется","Толщина пластины, мм","-")</f>
        <v>-</v>
      </c>
      <c r="C67" s="66"/>
    </row>
    <row r="68" spans="2:4" ht="15" thickBot="1" x14ac:dyDescent="0.25">
      <c r="B68" s="96" t="str">
        <f>IF(D26="Требуется","Материал","-")</f>
        <v>-</v>
      </c>
      <c r="C68" s="94">
        <f>Questionnaire!C74</f>
        <v>0</v>
      </c>
    </row>
    <row r="69" spans="2:4" ht="14.25" customHeight="1" x14ac:dyDescent="0.2"/>
    <row r="70" spans="2:4" ht="14.25" customHeight="1" x14ac:dyDescent="0.25">
      <c r="B70" s="119" t="str">
        <f ca="1">IF(OR(Questionnaire!D25=Questionnaire!O9,Questionnaire!D26=Questionnaire!O9,Questionnaire!D24=Questionnaire!P11,Questionnaire!D24=Questionnaire!P9,Questionnaire!D28=Questionnaire!P9),"Лоток для сбора осветленной воды","-")</f>
        <v>-</v>
      </c>
      <c r="C70" s="118"/>
      <c r="D70" s="118"/>
    </row>
    <row r="71" spans="2:4" ht="14.25" customHeight="1" x14ac:dyDescent="0.2">
      <c r="B71" s="118" t="str">
        <f ca="1">IF(OR(Questionnaire!D25=Questionnaire!O9,Questionnaire!D26=Questionnaire!O9,Questionnaire!D24=Questionnaire!P11,Questionnaire!D24=Questionnaire!P9,Questionnaire!D28=Questionnaire!P9),"Тип лотка","-")</f>
        <v>-</v>
      </c>
      <c r="C71" s="118">
        <f>Questionnaire!D58</f>
        <v>0</v>
      </c>
      <c r="D71" s="118"/>
    </row>
    <row r="72" spans="2:4" ht="14.25" customHeight="1" x14ac:dyDescent="0.2">
      <c r="B72" s="118" t="str">
        <f ca="1">IF(AND(OR(Questionnaire!D58=Questionnaire!Q3,Questionnaire!D58=Questionnaire!Q5),OR(Questionnaire!D25=Questionnaire!O9,Questionnaire!D26=Questionnaire!O9,Questionnaire!D24=Questionnaire!P11,Questionnaire!D24=Questionnaire!P9,Questionnaire!D28=Questionnaire!P9)),"Расстояние от стенки резервуара до лотка, мм","-")</f>
        <v>-</v>
      </c>
      <c r="C72" s="118"/>
      <c r="D72" s="118"/>
    </row>
    <row r="73" spans="2:4" ht="15" customHeight="1" x14ac:dyDescent="0.2">
      <c r="B73" s="118" t="str">
        <f ca="1">IF(OR(Questionnaire!D25=Questionnaire!O9,Questionnaire!D26=Questionnaire!O9,Questionnaire!D24=Questionnaire!P11,Questionnaire!D24=Questionnaire!P9,Questionnaire!D28=Questionnaire!P9),"Размеры лотка","-")</f>
        <v>-</v>
      </c>
      <c r="C73" s="118" t="str">
        <f ca="1">IF(OR(Questionnaire!D25=Questionnaire!O9,Questionnaire!D26=Questionnaire!O9,Questionnaire!D24=Questionnaire!P11,Questionnaire!D24=Questionnaire!P9,Questionnaire!D28=Questionnaire!P9),"Ширина (включая толщину стенки лотка), мм","-")</f>
        <v>-</v>
      </c>
      <c r="D73" s="118"/>
    </row>
    <row r="74" spans="2:4" x14ac:dyDescent="0.2">
      <c r="B74" s="118"/>
      <c r="C74" s="118" t="str">
        <f ca="1">IF(OR(Questionnaire!D25=Questionnaire!O9,Questionnaire!D26=Questionnaire!O9,Questionnaire!D24=Questionnaire!P11,Questionnaire!D24=Questionnaire!P9,Questionnaire!D28=Questionnaire!P9),"Высота, мм","-")</f>
        <v>-</v>
      </c>
      <c r="D74" s="118"/>
    </row>
    <row r="75" spans="2:4" x14ac:dyDescent="0.2">
      <c r="B75" s="118" t="str">
        <f ca="1">IF(OR(Questionnaire!D25=Questionnaire!O9,Questionnaire!D26=Questionnaire!O9,Questionnaire!D24=Questionnaire!P11,Questionnaire!D24=Questionnaire!P9,Questionnaire!D28=Questionnaire!P9),"Материал","-")</f>
        <v>-</v>
      </c>
      <c r="C75" s="118"/>
      <c r="D75" s="118">
        <f>Questionnaire!D62</f>
        <v>0</v>
      </c>
    </row>
    <row r="76" spans="2:4" x14ac:dyDescent="0.2"/>
    <row r="77" spans="2:4" ht="14.25" customHeight="1" x14ac:dyDescent="0.2"/>
    <row r="78" spans="2:4" x14ac:dyDescent="0.2"/>
    <row r="79" spans="2:4" x14ac:dyDescent="0.2"/>
    <row r="80" spans="2:4" x14ac:dyDescent="0.2"/>
    <row r="81" x14ac:dyDescent="0.2"/>
    <row r="82" x14ac:dyDescent="0.2"/>
    <row r="83" ht="15" customHeight="1" x14ac:dyDescent="0.2"/>
    <row r="84" x14ac:dyDescent="0.2"/>
    <row r="85" x14ac:dyDescent="0.2"/>
    <row r="86" x14ac:dyDescent="0.2"/>
    <row r="87" x14ac:dyDescent="0.2"/>
    <row r="88" ht="14.25" customHeight="1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96" x14ac:dyDescent="0.2"/>
    <row r="97" ht="14.25" customHeight="1" x14ac:dyDescent="0.2"/>
    <row r="98" x14ac:dyDescent="0.2"/>
    <row r="99" x14ac:dyDescent="0.2"/>
    <row r="100" x14ac:dyDescent="0.2"/>
    <row r="101" x14ac:dyDescent="0.2"/>
    <row r="102" x14ac:dyDescent="0.2"/>
    <row r="103" x14ac:dyDescent="0.2"/>
    <row r="104" ht="14.25" customHeight="1" x14ac:dyDescent="0.2"/>
    <row r="105" x14ac:dyDescent="0.2"/>
    <row r="106" x14ac:dyDescent="0.2"/>
    <row r="107" x14ac:dyDescent="0.2"/>
    <row r="108" x14ac:dyDescent="0.2"/>
    <row r="109" ht="14.25" customHeight="1" x14ac:dyDescent="0.2"/>
    <row r="110" ht="15" customHeight="1" x14ac:dyDescent="0.2"/>
    <row r="111" x14ac:dyDescent="0.2"/>
    <row r="112" ht="15" customHeight="1" x14ac:dyDescent="0.2"/>
    <row r="113" ht="15" customHeight="1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x14ac:dyDescent="0.2"/>
    <row r="122" x14ac:dyDescent="0.2"/>
    <row r="123" x14ac:dyDescent="0.2"/>
    <row r="124" x14ac:dyDescent="0.2"/>
    <row r="125" x14ac:dyDescent="0.2"/>
    <row r="126" x14ac:dyDescent="0.2"/>
    <row r="127" ht="15" customHeight="1" x14ac:dyDescent="0.2"/>
    <row r="128" ht="14.25" customHeight="1" x14ac:dyDescent="0.2"/>
    <row r="129" ht="0.75" customHeight="1" x14ac:dyDescent="0.2"/>
    <row r="130" x14ac:dyDescent="0.2"/>
    <row r="131" x14ac:dyDescent="0.2"/>
    <row r="132" x14ac:dyDescent="0.2"/>
    <row r="133" x14ac:dyDescent="0.2"/>
    <row r="134" x14ac:dyDescent="0.2"/>
    <row r="135" x14ac:dyDescent="0.2"/>
    <row r="136" x14ac:dyDescent="0.2"/>
    <row r="137" x14ac:dyDescent="0.2"/>
    <row r="138" x14ac:dyDescent="0.2"/>
    <row r="139" x14ac:dyDescent="0.2"/>
    <row r="140" x14ac:dyDescent="0.2"/>
    <row r="141" x14ac:dyDescent="0.2"/>
    <row r="142" x14ac:dyDescent="0.2"/>
    <row r="143" x14ac:dyDescent="0.2"/>
    <row r="144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</sheetData>
  <mergeCells count="44">
    <mergeCell ref="B36:C36"/>
    <mergeCell ref="D36:F36"/>
    <mergeCell ref="B31:F31"/>
    <mergeCell ref="B32:C32"/>
    <mergeCell ref="B34:B35"/>
    <mergeCell ref="D34:F34"/>
    <mergeCell ref="D35:F35"/>
    <mergeCell ref="D32:F32"/>
    <mergeCell ref="B33:C33"/>
    <mergeCell ref="E33:F33"/>
    <mergeCell ref="D28:F28"/>
    <mergeCell ref="D30:F30"/>
    <mergeCell ref="B21:C21"/>
    <mergeCell ref="D22:F22"/>
    <mergeCell ref="D23:F23"/>
    <mergeCell ref="D24:F24"/>
    <mergeCell ref="D25:F25"/>
    <mergeCell ref="B3:F3"/>
    <mergeCell ref="E4:F4"/>
    <mergeCell ref="E5:F5"/>
    <mergeCell ref="E6:F6"/>
    <mergeCell ref="E7:F7"/>
    <mergeCell ref="B10:C10"/>
    <mergeCell ref="B17:C17"/>
    <mergeCell ref="B11:C12"/>
    <mergeCell ref="B37:C38"/>
    <mergeCell ref="B8:F8"/>
    <mergeCell ref="D11:D12"/>
    <mergeCell ref="B13:B16"/>
    <mergeCell ref="D17:F17"/>
    <mergeCell ref="B9:C9"/>
    <mergeCell ref="D13:F13"/>
    <mergeCell ref="D37:F38"/>
    <mergeCell ref="B18:C18"/>
    <mergeCell ref="B19:C19"/>
    <mergeCell ref="B22:B30"/>
    <mergeCell ref="D26:F26"/>
    <mergeCell ref="D27:F27"/>
    <mergeCell ref="B65:C65"/>
    <mergeCell ref="B63:C63"/>
    <mergeCell ref="B44:C44"/>
    <mergeCell ref="B49:C49"/>
    <mergeCell ref="B54:C54"/>
    <mergeCell ref="B58:C58"/>
  </mergeCells>
  <dataValidations count="5">
    <dataValidation type="list" allowBlank="1" showInputMessage="1" showErrorMessage="1" sqref="H3" xr:uid="{00000000-0002-0000-0500-000000000000}">
      <formula1>"RUS, ENG, US ENG, POL"</formula1>
    </dataValidation>
    <dataValidation type="list" allowBlank="1" showInputMessage="1" showErrorMessage="1" sqref="D41" xr:uid="{00000000-0002-0000-0500-000001000000}">
      <formula1>Material</formula1>
    </dataValidation>
    <dataValidation type="list" allowBlank="1" showInputMessage="1" showErrorMessage="1" sqref="D39" xr:uid="{00000000-0002-0000-0500-000002000000}">
      <formula1>Yes_No</formula1>
    </dataValidation>
    <dataValidation allowBlank="1" showErrorMessage="1" sqref="D18:D20" xr:uid="{00000000-0002-0000-0500-000003000000}"/>
    <dataValidation allowBlank="1" showErrorMessage="1" prompt="Please indicate Cl- concentration if it is higher than 300 mg/l." sqref="D14:D16 D11:D12" xr:uid="{00000000-0002-0000-0500-000004000000}"/>
  </dataValidations>
  <pageMargins left="0.7" right="0.7" top="0.75" bottom="0.75" header="0.3" footer="0.3"/>
  <pageSetup paperSize="9" scale="6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25</vt:i4>
      </vt:variant>
    </vt:vector>
  </HeadingPairs>
  <TitlesOfParts>
    <vt:vector size="31" baseType="lpstr">
      <vt:lpstr>Questionnaire</vt:lpstr>
      <vt:lpstr>Drawings</vt:lpstr>
      <vt:lpstr>EN</vt:lpstr>
      <vt:lpstr>RU</vt:lpstr>
      <vt:lpstr>ENG</vt:lpstr>
      <vt:lpstr>RUS</vt:lpstr>
      <vt:lpstr>Questionnaire!Automatisation</vt:lpstr>
      <vt:lpstr>RUS!Automatisation</vt:lpstr>
      <vt:lpstr>Automatisation</vt:lpstr>
      <vt:lpstr>Questionnaire!Installation</vt:lpstr>
      <vt:lpstr>RUS!Installation</vt:lpstr>
      <vt:lpstr>Installation</vt:lpstr>
      <vt:lpstr>Questionnaire!Location</vt:lpstr>
      <vt:lpstr>RUS!Location</vt:lpstr>
      <vt:lpstr>Location</vt:lpstr>
      <vt:lpstr>Questionnaire!Motor_reductor</vt:lpstr>
      <vt:lpstr>RUS!Motor_reductor</vt:lpstr>
      <vt:lpstr>Motor_reductor</vt:lpstr>
      <vt:lpstr>Questionnaire!RVO</vt:lpstr>
      <vt:lpstr>RUS!RVO</vt:lpstr>
      <vt:lpstr>Screw_type</vt:lpstr>
      <vt:lpstr>Questionnaire!Yes_No</vt:lpstr>
      <vt:lpstr>RUS!Yes_No</vt:lpstr>
      <vt:lpstr>Yes_No</vt:lpstr>
      <vt:lpstr>Drawings!Область_печати</vt:lpstr>
      <vt:lpstr>EN!Область_печати</vt:lpstr>
      <vt:lpstr>Questionnaire!Область_печати</vt:lpstr>
      <vt:lpstr>RU!Область_печати</vt:lpstr>
      <vt:lpstr>Questionnaire!ШУ</vt:lpstr>
      <vt:lpstr>RUS!ШУ</vt:lpstr>
      <vt:lpstr>ШУ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AlaKir</dc:creator>
  <cp:lastModifiedBy>AdminW</cp:lastModifiedBy>
  <cp:lastPrinted>2018-02-28T13:57:38Z</cp:lastPrinted>
  <dcterms:created xsi:type="dcterms:W3CDTF">2015-02-12T07:11:34Z</dcterms:created>
  <dcterms:modified xsi:type="dcterms:W3CDTF">2023-02-08T12:19:55Z</dcterms:modified>
</cp:coreProperties>
</file>